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 tabRatio="807" activeTab="11"/>
  </bookViews>
  <sheets>
    <sheet name="CCT" sheetId="47" r:id="rId1"/>
    <sheet name="Inspetor Dia" sheetId="48" r:id="rId2"/>
    <sheet name="Inspetor Noite" sheetId="49" r:id="rId3"/>
    <sheet name="VA Dia" sheetId="27" r:id="rId4"/>
    <sheet name="VA Noite" sheetId="39" r:id="rId5"/>
    <sheet name="VACC Dia" sheetId="40" r:id="rId6"/>
    <sheet name="VACC Noite" sheetId="41" r:id="rId7"/>
    <sheet name="VACM Dia" sheetId="42" r:id="rId8"/>
    <sheet name="VACM Noite" sheetId="43" r:id="rId9"/>
    <sheet name="Equipam" sheetId="22" r:id="rId10"/>
    <sheet name="Unif" sheetId="21" r:id="rId11"/>
    <sheet name="Principal" sheetId="45" r:id="rId12"/>
  </sheets>
  <definedNames>
    <definedName name="_Hlk136729190" localSheetId="11">Principal!#REF!</definedName>
    <definedName name="_Hlk136729216" localSheetId="11">Principal!#REF!</definedName>
    <definedName name="_xlnm.Print_Area" localSheetId="9">Equipam!$A$2:$H$30</definedName>
    <definedName name="_xlnm.Print_Area" localSheetId="1">'Inspetor Dia'!$A$1:$D$138</definedName>
    <definedName name="_xlnm.Print_Area" localSheetId="2">'Inspetor Noite'!$A$2:$D$137</definedName>
    <definedName name="_xlnm.Print_Area" localSheetId="10">Unif!$A$2:$J$20</definedName>
    <definedName name="_xlnm.Print_Area" localSheetId="3">'VA Dia'!$A$1:$D$138</definedName>
    <definedName name="_xlnm.Print_Area" localSheetId="4">'VA Noite'!$A$2:$D$137</definedName>
    <definedName name="_xlnm.Print_Area" localSheetId="5">'VACC Dia'!$A$2:$D$137</definedName>
    <definedName name="_xlnm.Print_Area" localSheetId="6">'VACC Noite'!$A$2:$D$136</definedName>
    <definedName name="_xlnm.Print_Area" localSheetId="7">'VACM Dia'!$A$2:$D$136</definedName>
    <definedName name="_xlnm.Print_Area" localSheetId="8">'VACM Noite'!$A$2:$D$136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2"/>
  <c r="G19" s="1"/>
  <c r="C19"/>
  <c r="E4"/>
  <c r="G4" s="1"/>
  <c r="E16" i="21" l="1"/>
  <c r="F16" s="1"/>
  <c r="E17"/>
  <c r="F17" s="1"/>
  <c r="C55" i="43" l="1"/>
  <c r="C55" i="42"/>
  <c r="C55" i="41"/>
  <c r="C56" i="40"/>
  <c r="C56" i="39"/>
  <c r="C56" i="27"/>
  <c r="C56" i="49"/>
  <c r="C56" i="48"/>
  <c r="D54" i="43"/>
  <c r="D54" i="42"/>
  <c r="D54" i="41"/>
  <c r="D55" s="1"/>
  <c r="D55" i="40"/>
  <c r="D55" i="39"/>
  <c r="D55" i="27"/>
  <c r="D55" i="49"/>
  <c r="D53" i="43"/>
  <c r="D53" i="42"/>
  <c r="D53" i="41"/>
  <c r="D54" i="40"/>
  <c r="D54" i="39"/>
  <c r="D54" i="27"/>
  <c r="D54" i="49"/>
  <c r="D54" i="48"/>
  <c r="D52" i="43"/>
  <c r="D52" i="42"/>
  <c r="D52" i="41"/>
  <c r="D53" i="40"/>
  <c r="D53" i="39"/>
  <c r="D53" i="27"/>
  <c r="D53" i="49"/>
  <c r="C51" i="48"/>
  <c r="C51" i="49"/>
  <c r="C51" i="27"/>
  <c r="C51" i="39"/>
  <c r="C51" i="40"/>
  <c r="C50" i="41"/>
  <c r="C50" i="42"/>
  <c r="C50" i="43"/>
  <c r="D49"/>
  <c r="D49" i="42"/>
  <c r="D49" i="41"/>
  <c r="D50" i="40"/>
  <c r="D50" i="39"/>
  <c r="D50" i="27"/>
  <c r="D50" i="49"/>
  <c r="D50" i="48"/>
  <c r="C53" i="43"/>
  <c r="C53" i="42"/>
  <c r="C53" i="41"/>
  <c r="C54" i="40"/>
  <c r="C54" i="39"/>
  <c r="C54" i="49"/>
  <c r="C54" i="48"/>
  <c r="C48" i="42"/>
  <c r="C48" i="41"/>
  <c r="C48" i="43"/>
  <c r="C49" i="40"/>
  <c r="C49" i="39"/>
  <c r="D51" i="27" l="1"/>
  <c r="D50" i="42"/>
  <c r="D51" i="48"/>
  <c r="D50" i="43"/>
  <c r="D51" i="49"/>
  <c r="D56"/>
  <c r="D56" i="27"/>
  <c r="D56" i="39"/>
  <c r="D56" i="40"/>
  <c r="D50" i="41"/>
  <c r="D51" i="39"/>
  <c r="D51" i="40"/>
  <c r="D55" i="42"/>
  <c r="D55" i="43"/>
  <c r="D12" i="49"/>
  <c r="D49" s="1"/>
  <c r="D12" i="48"/>
  <c r="C118" i="49" l="1"/>
  <c r="C117"/>
  <c r="C116"/>
  <c r="C87"/>
  <c r="C86"/>
  <c r="C85"/>
  <c r="C84"/>
  <c r="C83"/>
  <c r="C75"/>
  <c r="C73"/>
  <c r="C70"/>
  <c r="C50"/>
  <c r="C43"/>
  <c r="C29"/>
  <c r="C30" s="1"/>
  <c r="D14"/>
  <c r="D15" s="1"/>
  <c r="C119" i="48"/>
  <c r="C123" s="1"/>
  <c r="C87"/>
  <c r="C86"/>
  <c r="C85"/>
  <c r="C84"/>
  <c r="C83"/>
  <c r="C75"/>
  <c r="C73"/>
  <c r="C70"/>
  <c r="C71" s="1"/>
  <c r="C72" s="1"/>
  <c r="D55"/>
  <c r="D56" s="1"/>
  <c r="D53"/>
  <c r="C49"/>
  <c r="D49" s="1"/>
  <c r="D48"/>
  <c r="C43"/>
  <c r="C29"/>
  <c r="C30" s="1"/>
  <c r="D14"/>
  <c r="D19" s="1"/>
  <c r="C129" s="1"/>
  <c r="D5"/>
  <c r="D4"/>
  <c r="A4"/>
  <c r="C74" i="49" l="1"/>
  <c r="D57" i="48"/>
  <c r="C64" s="1"/>
  <c r="C74"/>
  <c r="C89"/>
  <c r="C122" i="49"/>
  <c r="C89"/>
  <c r="D16"/>
  <c r="D19" s="1"/>
  <c r="C71"/>
  <c r="D20" i="48"/>
  <c r="D88"/>
  <c r="C76"/>
  <c r="C54" i="27"/>
  <c r="C49"/>
  <c r="D12"/>
  <c r="D5"/>
  <c r="D4"/>
  <c r="D4" i="49" s="1"/>
  <c r="A4" i="27"/>
  <c r="A4" i="49" s="1"/>
  <c r="C23" i="22"/>
  <c r="E23" s="1"/>
  <c r="C21"/>
  <c r="E21" s="1"/>
  <c r="G21" s="1"/>
  <c r="E20"/>
  <c r="G20" s="1"/>
  <c r="F16" i="45"/>
  <c r="G6" i="21" l="1"/>
  <c r="G17" s="1"/>
  <c r="H17" s="1"/>
  <c r="I17" s="1"/>
  <c r="H19" i="22"/>
  <c r="H20"/>
  <c r="D72" i="48"/>
  <c r="D94"/>
  <c r="D95" s="1"/>
  <c r="C101" s="1"/>
  <c r="D49" i="27"/>
  <c r="H21" i="22"/>
  <c r="C128" i="49"/>
  <c r="D20"/>
  <c r="D71" s="1"/>
  <c r="D88"/>
  <c r="C72"/>
  <c r="D73" i="48"/>
  <c r="D29"/>
  <c r="D71"/>
  <c r="D75"/>
  <c r="D28"/>
  <c r="D84"/>
  <c r="D21"/>
  <c r="D70"/>
  <c r="D74"/>
  <c r="G7" i="21"/>
  <c r="G23" i="22"/>
  <c r="H23" s="1"/>
  <c r="D6" i="43"/>
  <c r="D6" i="42"/>
  <c r="D6" i="41"/>
  <c r="D6" i="40"/>
  <c r="D6" i="39"/>
  <c r="D6" i="27"/>
  <c r="C74" i="43"/>
  <c r="C72"/>
  <c r="C69"/>
  <c r="C70" s="1"/>
  <c r="C71" s="1"/>
  <c r="C74" i="42"/>
  <c r="C72"/>
  <c r="C69"/>
  <c r="C70" s="1"/>
  <c r="C71" s="1"/>
  <c r="C74" i="41"/>
  <c r="C72"/>
  <c r="C69"/>
  <c r="C70" s="1"/>
  <c r="C71" s="1"/>
  <c r="C75" i="40"/>
  <c r="C73"/>
  <c r="C70"/>
  <c r="C71" s="1"/>
  <c r="C72" s="1"/>
  <c r="C75" i="39"/>
  <c r="C73"/>
  <c r="C70"/>
  <c r="C71" s="1"/>
  <c r="C72" s="1"/>
  <c r="G8" i="21" l="1"/>
  <c r="G13"/>
  <c r="G15"/>
  <c r="G9"/>
  <c r="G10"/>
  <c r="G11"/>
  <c r="G12"/>
  <c r="G16"/>
  <c r="H16" s="1"/>
  <c r="I16" s="1"/>
  <c r="G14"/>
  <c r="D30" i="48"/>
  <c r="D42" s="1"/>
  <c r="D72" i="49"/>
  <c r="C76"/>
  <c r="D73"/>
  <c r="D29"/>
  <c r="D94"/>
  <c r="D95" s="1"/>
  <c r="C101" s="1"/>
  <c r="D28"/>
  <c r="D21"/>
  <c r="D74"/>
  <c r="D75"/>
  <c r="D70"/>
  <c r="D35" i="48"/>
  <c r="D76"/>
  <c r="C131" s="1"/>
  <c r="C87" i="27"/>
  <c r="C87" i="39"/>
  <c r="C87" i="40"/>
  <c r="C86" i="41"/>
  <c r="C86" i="42"/>
  <c r="C86" i="43"/>
  <c r="C85"/>
  <c r="C85" i="42"/>
  <c r="C85" i="41"/>
  <c r="C86" i="40"/>
  <c r="C86" i="39"/>
  <c r="C86" i="27"/>
  <c r="C83" i="43"/>
  <c r="C83" i="42"/>
  <c r="C83" i="41"/>
  <c r="C84" i="40"/>
  <c r="C84" i="39"/>
  <c r="C84" i="27"/>
  <c r="C85"/>
  <c r="C116" i="43"/>
  <c r="C116" i="42"/>
  <c r="C115"/>
  <c r="C116" i="41"/>
  <c r="C115"/>
  <c r="C117" i="40"/>
  <c r="C116"/>
  <c r="C117" i="39"/>
  <c r="C117" i="43" s="1"/>
  <c r="C116" i="39"/>
  <c r="D39" i="48" l="1"/>
  <c r="D36"/>
  <c r="D38"/>
  <c r="D76" i="49"/>
  <c r="C130" s="1"/>
  <c r="D30"/>
  <c r="D41" s="1"/>
  <c r="C62" i="48"/>
  <c r="D40"/>
  <c r="D37"/>
  <c r="D41"/>
  <c r="C73" i="27"/>
  <c r="D42" i="49" l="1"/>
  <c r="D35"/>
  <c r="D38"/>
  <c r="D43" i="48"/>
  <c r="C63" s="1"/>
  <c r="C65" s="1"/>
  <c r="C130" s="1"/>
  <c r="C62" i="49"/>
  <c r="D36"/>
  <c r="D39"/>
  <c r="D40"/>
  <c r="D37"/>
  <c r="E22" i="22"/>
  <c r="E18"/>
  <c r="G18" s="1"/>
  <c r="H18" s="1"/>
  <c r="G22" l="1"/>
  <c r="H22" s="1"/>
  <c r="D83" i="48"/>
  <c r="D87"/>
  <c r="D85"/>
  <c r="D86"/>
  <c r="D43" i="49"/>
  <c r="D87" s="1"/>
  <c r="D48" i="40"/>
  <c r="D47" i="41" s="1"/>
  <c r="D47" i="42" s="1"/>
  <c r="D47" i="43" s="1"/>
  <c r="C50" i="39"/>
  <c r="C50" i="40" s="1"/>
  <c r="C49" i="41" s="1"/>
  <c r="C49" i="42" s="1"/>
  <c r="C49" i="43" s="1"/>
  <c r="D4" i="39"/>
  <c r="D4" i="40" s="1"/>
  <c r="D4" i="41" s="1"/>
  <c r="D4" i="42" s="1"/>
  <c r="D4" i="43" s="1"/>
  <c r="D48" i="27"/>
  <c r="D12" i="39"/>
  <c r="A4"/>
  <c r="A4" i="40" s="1"/>
  <c r="A4" i="41" s="1"/>
  <c r="A4" i="42" s="1"/>
  <c r="A4" i="43" s="1"/>
  <c r="C83" i="27"/>
  <c r="D89" i="48" l="1"/>
  <c r="C100" s="1"/>
  <c r="C102" s="1"/>
  <c r="C132" s="1"/>
  <c r="D84" i="49"/>
  <c r="D12" i="40"/>
  <c r="D49" i="39"/>
  <c r="D86" i="49"/>
  <c r="D48" i="39"/>
  <c r="D48" i="49"/>
  <c r="D85"/>
  <c r="C63"/>
  <c r="D83"/>
  <c r="D89" l="1"/>
  <c r="C100" s="1"/>
  <c r="C102" s="1"/>
  <c r="C131" s="1"/>
  <c r="D12" i="41"/>
  <c r="D49" i="40"/>
  <c r="D57" i="27"/>
  <c r="D12" i="42" l="1"/>
  <c r="D48" i="41"/>
  <c r="C82" i="43"/>
  <c r="C82" i="42"/>
  <c r="C82" i="41"/>
  <c r="C83" i="40"/>
  <c r="C83" i="39"/>
  <c r="D12" i="43" l="1"/>
  <c r="D48" s="1"/>
  <c r="D48" i="42"/>
  <c r="C75" i="27"/>
  <c r="C28" i="43" l="1"/>
  <c r="C28" i="42"/>
  <c r="C28" i="41"/>
  <c r="C29" i="40"/>
  <c r="C29" i="39"/>
  <c r="C29" i="27"/>
  <c r="E16" i="22"/>
  <c r="G16" s="1"/>
  <c r="H16" s="1"/>
  <c r="E15"/>
  <c r="G15" s="1"/>
  <c r="H15" s="1"/>
  <c r="E14"/>
  <c r="G14" s="1"/>
  <c r="H14" s="1"/>
  <c r="E13"/>
  <c r="G13" s="1"/>
  <c r="H13" s="1"/>
  <c r="E12"/>
  <c r="E11"/>
  <c r="E10"/>
  <c r="E9"/>
  <c r="E8"/>
  <c r="E7"/>
  <c r="E6"/>
  <c r="G6" s="1"/>
  <c r="H6" s="1"/>
  <c r="E5"/>
  <c r="E15" i="21"/>
  <c r="F15" s="1"/>
  <c r="H15" s="1"/>
  <c r="I15" s="1"/>
  <c r="E14"/>
  <c r="F14" s="1"/>
  <c r="H14" s="1"/>
  <c r="I14" s="1"/>
  <c r="E13"/>
  <c r="F13" s="1"/>
  <c r="H13" s="1"/>
  <c r="I13" s="1"/>
  <c r="E12"/>
  <c r="F12" s="1"/>
  <c r="H12" s="1"/>
  <c r="I12" s="1"/>
  <c r="E11"/>
  <c r="F11" s="1"/>
  <c r="H11" s="1"/>
  <c r="I11" s="1"/>
  <c r="E10"/>
  <c r="F10" s="1"/>
  <c r="H10" s="1"/>
  <c r="I10" s="1"/>
  <c r="E9"/>
  <c r="F9" s="1"/>
  <c r="H9" s="1"/>
  <c r="I9" s="1"/>
  <c r="E8"/>
  <c r="F8" s="1"/>
  <c r="H8" s="1"/>
  <c r="I8" s="1"/>
  <c r="E7"/>
  <c r="F7" s="1"/>
  <c r="H7" s="1"/>
  <c r="I7" s="1"/>
  <c r="E6"/>
  <c r="F6" s="1"/>
  <c r="G12" i="22" l="1"/>
  <c r="H12" s="1"/>
  <c r="G8"/>
  <c r="H8" s="1"/>
  <c r="G5"/>
  <c r="G7"/>
  <c r="H7" s="1"/>
  <c r="G11"/>
  <c r="H11" s="1"/>
  <c r="G9"/>
  <c r="H9" s="1"/>
  <c r="G10"/>
  <c r="H10" s="1"/>
  <c r="F20" i="21"/>
  <c r="E30" i="22"/>
  <c r="H6" i="21"/>
  <c r="I6" s="1"/>
  <c r="G30" i="22" l="1"/>
  <c r="H5"/>
  <c r="C108" i="27"/>
  <c r="C107" i="49" s="1"/>
  <c r="C108" i="48"/>
  <c r="H4" i="22"/>
  <c r="H30" s="1"/>
  <c r="C106" i="41" l="1"/>
  <c r="C107" i="39"/>
  <c r="C107" i="40"/>
  <c r="C106" i="42"/>
  <c r="C107" i="43"/>
  <c r="C109" i="27"/>
  <c r="C108" i="43" s="1"/>
  <c r="C109" i="48"/>
  <c r="C112" s="1"/>
  <c r="C133" s="1"/>
  <c r="C134" s="1"/>
  <c r="C84" i="43"/>
  <c r="C84" i="42"/>
  <c r="C84" i="41"/>
  <c r="C85" i="40"/>
  <c r="C85" i="39"/>
  <c r="C107" i="41" l="1"/>
  <c r="C108" i="39"/>
  <c r="C107" i="42"/>
  <c r="D117" i="48"/>
  <c r="D118" s="1"/>
  <c r="D121" s="1"/>
  <c r="C108" i="40"/>
  <c r="C108" i="49"/>
  <c r="C111" s="1"/>
  <c r="C132" s="1"/>
  <c r="C70" i="27"/>
  <c r="C71" s="1"/>
  <c r="C72" s="1"/>
  <c r="D120" i="48" l="1"/>
  <c r="D122"/>
  <c r="D14" i="41"/>
  <c r="D15" s="1"/>
  <c r="D16" s="1"/>
  <c r="D14" i="27"/>
  <c r="D14" i="43"/>
  <c r="D15" s="1"/>
  <c r="D13"/>
  <c r="D14" i="42"/>
  <c r="D13"/>
  <c r="D13" i="41"/>
  <c r="D14" i="40"/>
  <c r="D13"/>
  <c r="D14" i="39"/>
  <c r="D123" i="48" l="1"/>
  <c r="C135" s="1"/>
  <c r="C137" s="1"/>
  <c r="D19" i="42"/>
  <c r="D20" s="1"/>
  <c r="D19" i="40"/>
  <c r="D88" s="1"/>
  <c r="D19" i="27"/>
  <c r="D16" i="43"/>
  <c r="D19" i="41"/>
  <c r="D15" i="39"/>
  <c r="D16" s="1"/>
  <c r="G12" i="45" l="1"/>
  <c r="H12" s="1"/>
  <c r="D71" i="42"/>
  <c r="D93"/>
  <c r="D69"/>
  <c r="D72"/>
  <c r="D74"/>
  <c r="D70"/>
  <c r="D21"/>
  <c r="D20" i="41"/>
  <c r="D88" i="27"/>
  <c r="D20" i="40"/>
  <c r="D19" i="43"/>
  <c r="D20" s="1"/>
  <c r="D20" i="27"/>
  <c r="D19" i="39"/>
  <c r="D88" s="1"/>
  <c r="D69" i="43" l="1"/>
  <c r="D93"/>
  <c r="D72"/>
  <c r="D74"/>
  <c r="D70"/>
  <c r="D71"/>
  <c r="D72" i="41"/>
  <c r="D69"/>
  <c r="D74"/>
  <c r="D70"/>
  <c r="D93"/>
  <c r="D71"/>
  <c r="D73" i="40"/>
  <c r="D94"/>
  <c r="D70"/>
  <c r="D75"/>
  <c r="D71"/>
  <c r="D72"/>
  <c r="D71" i="27"/>
  <c r="D75"/>
  <c r="D73"/>
  <c r="D94"/>
  <c r="D72"/>
  <c r="D70"/>
  <c r="D21" i="43"/>
  <c r="D21" i="41"/>
  <c r="D21" i="40"/>
  <c r="D28" i="27"/>
  <c r="D84"/>
  <c r="D20" i="39"/>
  <c r="D21" i="27"/>
  <c r="D28" i="40"/>
  <c r="D29"/>
  <c r="C127" i="42"/>
  <c r="C128" i="40"/>
  <c r="D29" i="39" l="1"/>
  <c r="D94"/>
  <c r="D72"/>
  <c r="D73"/>
  <c r="D70"/>
  <c r="D75"/>
  <c r="D71"/>
  <c r="D28"/>
  <c r="D21"/>
  <c r="D30" i="40"/>
  <c r="C88" i="41" l="1"/>
  <c r="C88" i="42"/>
  <c r="C89" i="40" l="1"/>
  <c r="E20" i="21" l="1"/>
  <c r="H20" l="1"/>
  <c r="I20"/>
  <c r="D56" i="42"/>
  <c r="C63" s="1"/>
  <c r="C118" i="43"/>
  <c r="C122" s="1"/>
  <c r="D94"/>
  <c r="C100" s="1"/>
  <c r="C88"/>
  <c r="C42"/>
  <c r="C73" s="1"/>
  <c r="D73" s="1"/>
  <c r="C29"/>
  <c r="C117" i="42"/>
  <c r="D94"/>
  <c r="C100" s="1"/>
  <c r="C42"/>
  <c r="C73" s="1"/>
  <c r="D73" s="1"/>
  <c r="C29"/>
  <c r="C117" i="41"/>
  <c r="C121" s="1"/>
  <c r="D94"/>
  <c r="C100" s="1"/>
  <c r="D56"/>
  <c r="C63" s="1"/>
  <c r="C42"/>
  <c r="C73" s="1"/>
  <c r="D73" s="1"/>
  <c r="C29"/>
  <c r="C118" i="40"/>
  <c r="C122" s="1"/>
  <c r="D95"/>
  <c r="C101" s="1"/>
  <c r="C43"/>
  <c r="C30"/>
  <c r="C118" i="39"/>
  <c r="D95"/>
  <c r="C101" s="1"/>
  <c r="C43"/>
  <c r="C74" s="1"/>
  <c r="D74" s="1"/>
  <c r="C30"/>
  <c r="C89" i="27"/>
  <c r="C74" i="40" l="1"/>
  <c r="D74" s="1"/>
  <c r="C122" i="39"/>
  <c r="C121" i="42"/>
  <c r="C75" i="43"/>
  <c r="C75" i="42"/>
  <c r="D57" i="40"/>
  <c r="C64" s="1"/>
  <c r="D57" i="39"/>
  <c r="C64" s="1"/>
  <c r="C89"/>
  <c r="C75" i="41"/>
  <c r="C76" i="40"/>
  <c r="C76" i="39"/>
  <c r="C127" i="41" l="1"/>
  <c r="C129" i="27"/>
  <c r="D27" i="42"/>
  <c r="D28"/>
  <c r="C119" i="27"/>
  <c r="D95"/>
  <c r="C101" s="1"/>
  <c r="C43"/>
  <c r="C74" s="1"/>
  <c r="D74" s="1"/>
  <c r="C30"/>
  <c r="C111" i="39" l="1"/>
  <c r="C132" s="1"/>
  <c r="C111" i="40"/>
  <c r="C132" s="1"/>
  <c r="C110" i="42"/>
  <c r="C131" s="1"/>
  <c r="C111" i="43"/>
  <c r="C131" s="1"/>
  <c r="C110" i="41"/>
  <c r="C131" s="1"/>
  <c r="C112" i="27"/>
  <c r="C133" s="1"/>
  <c r="C127" i="43"/>
  <c r="D27" i="41"/>
  <c r="D28"/>
  <c r="C128" i="39"/>
  <c r="D29" i="27"/>
  <c r="D29" i="42"/>
  <c r="D75"/>
  <c r="C129" s="1"/>
  <c r="C123" i="27"/>
  <c r="D27" i="43"/>
  <c r="D42" i="40"/>
  <c r="D76"/>
  <c r="C130" s="1"/>
  <c r="C64" i="27"/>
  <c r="D37" i="42" l="1"/>
  <c r="D28" i="43"/>
  <c r="D29" s="1"/>
  <c r="D34" i="42"/>
  <c r="D36"/>
  <c r="D35"/>
  <c r="D38"/>
  <c r="C61"/>
  <c r="D41"/>
  <c r="D40"/>
  <c r="D39"/>
  <c r="D75" i="41"/>
  <c r="C129" s="1"/>
  <c r="D29"/>
  <c r="D36" i="40"/>
  <c r="D35"/>
  <c r="D40"/>
  <c r="D75" i="43"/>
  <c r="C129" s="1"/>
  <c r="C62" i="40"/>
  <c r="D38"/>
  <c r="D41"/>
  <c r="D39"/>
  <c r="D37"/>
  <c r="C76" i="27"/>
  <c r="D30"/>
  <c r="C61" i="43" l="1"/>
  <c r="D39" i="41"/>
  <c r="D35" i="27"/>
  <c r="D30" i="39"/>
  <c r="D37" i="27"/>
  <c r="D40"/>
  <c r="D38"/>
  <c r="D36"/>
  <c r="D39"/>
  <c r="D41"/>
  <c r="D42" i="42"/>
  <c r="D82" s="1"/>
  <c r="D41" i="41"/>
  <c r="D34"/>
  <c r="D37"/>
  <c r="C61"/>
  <c r="D36"/>
  <c r="D35"/>
  <c r="D40"/>
  <c r="D38"/>
  <c r="D41" i="43"/>
  <c r="D40"/>
  <c r="D37"/>
  <c r="D39"/>
  <c r="D36"/>
  <c r="D38"/>
  <c r="D35"/>
  <c r="D34"/>
  <c r="D43" i="40"/>
  <c r="D83" s="1"/>
  <c r="C62" i="27"/>
  <c r="D42"/>
  <c r="C62" i="42" l="1"/>
  <c r="C64" s="1"/>
  <c r="C128" s="1"/>
  <c r="D87"/>
  <c r="D86"/>
  <c r="D85"/>
  <c r="D84"/>
  <c r="D83"/>
  <c r="C63" i="40"/>
  <c r="C65" s="1"/>
  <c r="C129" s="1"/>
  <c r="D87"/>
  <c r="D86"/>
  <c r="D85"/>
  <c r="D84"/>
  <c r="D35" i="39"/>
  <c r="D37"/>
  <c r="D36"/>
  <c r="D39"/>
  <c r="D38"/>
  <c r="D40"/>
  <c r="C62"/>
  <c r="D41"/>
  <c r="D42"/>
  <c r="D43" i="27"/>
  <c r="D83" s="1"/>
  <c r="D42" i="41"/>
  <c r="D82" s="1"/>
  <c r="D42" i="43"/>
  <c r="D82" s="1"/>
  <c r="C62" l="1"/>
  <c r="D84"/>
  <c r="D85"/>
  <c r="D86"/>
  <c r="D87"/>
  <c r="D83"/>
  <c r="D88" i="42"/>
  <c r="C99" s="1"/>
  <c r="C101" s="1"/>
  <c r="C130" s="1"/>
  <c r="C62" i="41"/>
  <c r="C64" s="1"/>
  <c r="C128" s="1"/>
  <c r="D83"/>
  <c r="D84"/>
  <c r="D85"/>
  <c r="D86"/>
  <c r="D87"/>
  <c r="D89" i="40"/>
  <c r="C100" s="1"/>
  <c r="C102" s="1"/>
  <c r="C131" s="1"/>
  <c r="D86" i="27"/>
  <c r="D85"/>
  <c r="D87"/>
  <c r="C63"/>
  <c r="C65" s="1"/>
  <c r="C130" s="1"/>
  <c r="D43" i="39"/>
  <c r="D83" s="1"/>
  <c r="C133" i="40" l="1"/>
  <c r="C132" i="42"/>
  <c r="D88" i="43"/>
  <c r="C99" s="1"/>
  <c r="C101" s="1"/>
  <c r="C130" s="1"/>
  <c r="D88" i="41"/>
  <c r="C99" s="1"/>
  <c r="C101" s="1"/>
  <c r="C130" s="1"/>
  <c r="D87" i="39"/>
  <c r="D86"/>
  <c r="D85"/>
  <c r="D84"/>
  <c r="D89" i="27"/>
  <c r="C100" s="1"/>
  <c r="C102" s="1"/>
  <c r="C132" s="1"/>
  <c r="C63" i="39"/>
  <c r="C65" s="1"/>
  <c r="C129" s="1"/>
  <c r="D76" i="27"/>
  <c r="C131" s="1"/>
  <c r="D115" i="42" l="1"/>
  <c r="D116" s="1"/>
  <c r="D116" i="40"/>
  <c r="D117" s="1"/>
  <c r="D119" s="1"/>
  <c r="C132" i="41"/>
  <c r="C134" i="27"/>
  <c r="D89" i="39"/>
  <c r="C100" s="1"/>
  <c r="C102" s="1"/>
  <c r="C131" s="1"/>
  <c r="D119" i="42" l="1"/>
  <c r="D118"/>
  <c r="D120"/>
  <c r="D115" i="41"/>
  <c r="D116" s="1"/>
  <c r="D120" s="1"/>
  <c r="D121" i="40"/>
  <c r="D120"/>
  <c r="D117" i="27"/>
  <c r="D118" s="1"/>
  <c r="D122" s="1"/>
  <c r="D76" i="39"/>
  <c r="C130" s="1"/>
  <c r="D121" i="42" l="1"/>
  <c r="C133" s="1"/>
  <c r="D122" i="40"/>
  <c r="C134" s="1"/>
  <c r="D121" i="27"/>
  <c r="D118" i="41"/>
  <c r="D119"/>
  <c r="D120" i="27"/>
  <c r="C133" i="39"/>
  <c r="F123" i="42" l="1"/>
  <c r="C136" i="40"/>
  <c r="D123" i="27"/>
  <c r="C135" s="1"/>
  <c r="D121" i="41"/>
  <c r="C133" s="1"/>
  <c r="D116" i="39"/>
  <c r="D117" s="1"/>
  <c r="C135" i="42" l="1"/>
  <c r="G7" i="45"/>
  <c r="H7" s="1"/>
  <c r="C135" i="41"/>
  <c r="D121" i="39"/>
  <c r="D119"/>
  <c r="D120"/>
  <c r="C137" i="27" l="1"/>
  <c r="G9" i="45"/>
  <c r="H9" s="1"/>
  <c r="G8"/>
  <c r="H8" s="1"/>
  <c r="D122" i="39"/>
  <c r="C134" s="1"/>
  <c r="G5" i="45" l="1"/>
  <c r="H5" s="1"/>
  <c r="C136" i="39"/>
  <c r="G11" i="45" l="1"/>
  <c r="H11" s="1"/>
  <c r="G14"/>
  <c r="H14" s="1"/>
  <c r="G140" i="43"/>
  <c r="G141" s="1"/>
  <c r="G6" i="45"/>
  <c r="H6" l="1"/>
  <c r="G15"/>
  <c r="H15" l="1"/>
  <c r="D56" i="43" l="1"/>
  <c r="C63" s="1"/>
  <c r="C64" s="1"/>
  <c r="C128" s="1"/>
  <c r="C132" s="1"/>
  <c r="D116" l="1"/>
  <c r="D117" s="1"/>
  <c r="D119" s="1"/>
  <c r="D120" l="1"/>
  <c r="D121"/>
  <c r="D122" l="1"/>
  <c r="C133" s="1"/>
  <c r="C135" s="1"/>
  <c r="G10" i="45" l="1"/>
  <c r="H10" s="1"/>
  <c r="D57" i="49" l="1"/>
  <c r="C64" s="1"/>
  <c r="C65" s="1"/>
  <c r="C129" s="1"/>
  <c r="C133" s="1"/>
  <c r="D116" l="1"/>
  <c r="D117" s="1"/>
  <c r="D121" s="1"/>
  <c r="D120" l="1"/>
  <c r="D119"/>
  <c r="D122" l="1"/>
  <c r="C134" s="1"/>
  <c r="C136" l="1"/>
  <c r="G13" i="45" l="1"/>
  <c r="H13" s="1"/>
  <c r="H16" s="1"/>
  <c r="H17" s="1"/>
</calcChain>
</file>

<file path=xl/comments1.xml><?xml version="1.0" encoding="utf-8"?>
<comments xmlns="http://schemas.openxmlformats.org/spreadsheetml/2006/main">
  <authors>
    <author>UFAM-CLCMA</author>
    <author>Proadm 201</author>
  </authors>
  <commentList>
    <comment ref="C74" authorId="0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1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7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2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4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7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3.xml><?xml version="1.0" encoding="utf-8"?>
<comments xmlns="http://schemas.openxmlformats.org/spreadsheetml/2006/main">
  <authors>
    <author>UFAM-CLCMA</author>
    <author>Proadm 201</author>
  </authors>
  <commentList>
    <comment ref="C74" authorId="0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1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7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4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4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7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5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4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7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6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0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3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7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4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7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0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3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7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4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8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73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7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4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7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sharedStrings.xml><?xml version="1.0" encoding="utf-8"?>
<sst xmlns="http://schemas.openxmlformats.org/spreadsheetml/2006/main" count="1703" uniqueCount="249">
  <si>
    <t>Adicional Noturno</t>
  </si>
  <si>
    <t>Total</t>
  </si>
  <si>
    <t>SEBRAE</t>
  </si>
  <si>
    <t>INCRA</t>
  </si>
  <si>
    <t>FGTS</t>
  </si>
  <si>
    <t>Insumos Diversos</t>
  </si>
  <si>
    <t>Custos Indiretos, Tributos e Lucro</t>
  </si>
  <si>
    <t>Custos Indiretos</t>
  </si>
  <si>
    <t>Lucro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</si>
  <si>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</si>
  <si>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</si>
  <si>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</si>
  <si>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</si>
  <si>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</si>
  <si>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</si>
  <si>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</si>
  <si>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</si>
  <si>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D</t>
  </si>
  <si>
    <t>E</t>
  </si>
  <si>
    <t>Adicional de Hora Noturna Reduzida</t>
  </si>
  <si>
    <t>F</t>
  </si>
  <si>
    <t>G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</si>
  <si>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</si>
  <si>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</si>
  <si>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</si>
  <si>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</si>
  <si>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</si>
  <si>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</si>
  <si>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</si>
  <si>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</si>
  <si>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</si>
  <si>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</si>
  <si>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SESC ou SESI</t>
  </si>
  <si>
    <t>SENAI - SENAC</t>
  </si>
  <si>
    <t>H</t>
  </si>
  <si>
    <t xml:space="preserve">Total </t>
  </si>
  <si>
    <t>Submódulo 2.3 - Benefícios Mensais e Diários.</t>
  </si>
  <si>
    <t>2.3</t>
  </si>
  <si>
    <t>Benefícios Mensais e Diários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</si>
  <si>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</si>
  <si>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</si>
  <si>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</si>
  <si>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</si>
  <si>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</si>
  <si>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</si>
  <si>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</si>
  <si>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</si>
  <si>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</si>
  <si>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</si>
  <si>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</si>
  <si>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</si>
  <si>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</si>
  <si>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Submódulo 4.2 - Intrajornada</t>
  </si>
  <si>
    <t>4.2</t>
  </si>
  <si>
    <t>Intrajornada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</si>
  <si>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</si>
  <si>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</si>
  <si>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</si>
  <si>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</si>
  <si>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Módulo 6 - Custos Indiretos, Tributos e Lucro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</si>
  <si>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</si>
  <si>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</si>
  <si>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</si>
  <si>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</si>
  <si>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</si>
  <si>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</si>
  <si>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Intervalo para repouso e alimentação</t>
  </si>
  <si>
    <t>RAT</t>
  </si>
  <si>
    <t>Desconto sobre salário</t>
  </si>
  <si>
    <t>(Aplicar sobre a CCT da categoria)</t>
  </si>
  <si>
    <t>(Aplicar os índices sob o módulo 1 e 2.1)</t>
  </si>
  <si>
    <t>(Aplicar os índices sobre o módulo 1)</t>
  </si>
  <si>
    <t>Percentual %</t>
  </si>
  <si>
    <t>PIS (Todos os Módulos x (%  do Tributo) / (1- 0,9451%))</t>
  </si>
  <si>
    <t>COFINS (Todos os Módulos x (%  do Tributo) / (1- 0,9451%)))</t>
  </si>
  <si>
    <t>Tributos - Base de Cálculo dos tributos</t>
  </si>
  <si>
    <t>Dados da Contratação</t>
  </si>
  <si>
    <t>Data base:</t>
  </si>
  <si>
    <t>Incidência de GPS, FGTS e outras contribuições sobre o Aviso Prévio Trabalhado.</t>
  </si>
  <si>
    <t>Unidade de Medida - Postos</t>
  </si>
  <si>
    <t>Quantidade:</t>
  </si>
  <si>
    <t>Período da execução contaratual</t>
  </si>
  <si>
    <t>Anual:</t>
  </si>
  <si>
    <t>12 meses</t>
  </si>
  <si>
    <t>Equipamentos do cargo e coletivo</t>
  </si>
  <si>
    <t>Adicional de Hora Extra</t>
  </si>
  <si>
    <t xml:space="preserve">Tipo de Serviços: VIGILANTE 12X36 DIURNO ARMADO </t>
  </si>
  <si>
    <t>CBO:</t>
  </si>
  <si>
    <t xml:space="preserve">Qdte
Anual </t>
  </si>
  <si>
    <t xml:space="preserve">Custo Total Anual </t>
  </si>
  <si>
    <t>Custo Total Mensal</t>
  </si>
  <si>
    <t xml:space="preserve">Quantidade
Vigilantes </t>
  </si>
  <si>
    <t>Cinto de nylon na cor preta, fivela em metal, com garra regulável, de boa qualidade.*</t>
  </si>
  <si>
    <t>Camisa social, mangas curtas, tecido tricioline mista  com  emblema  da  empresa  pintado  no lado superior esquerdo, de boa qualidade.*</t>
  </si>
  <si>
    <t>Calça em oxford, braguilha com zíper e quatro bolsos embutidos, de boa qualidade*</t>
  </si>
  <si>
    <t>Crachá   (confeccionado   em   cartão   de   PVC, medindo  85  x  50  mm  equipado  de  presilha, tipo jacaré).</t>
  </si>
  <si>
    <t>Apito de metal com cordão do tipo trançado, de boa qualidade.**</t>
  </si>
  <si>
    <t>Par de meia em algodão, tipo cano longo, de boa qualidade. Marca Trifill, Lupo ou similar</t>
  </si>
  <si>
    <t>Boné confeccionado em  tecido de  brim,  com logomarca da empresa, de boa qualidade</t>
  </si>
  <si>
    <t>PLANILHA COMPOSIÇÃO DE CUSTOS E FORMAÇÃO DE PREÇOS</t>
  </si>
  <si>
    <t>UNIFORMES GRUPO 01 - Quantitativo por vigilante (01 posto = 02 colaboradores)</t>
  </si>
  <si>
    <t>Item</t>
  </si>
  <si>
    <t>Descrição</t>
  </si>
  <si>
    <t>Valor Unitário (por item)</t>
  </si>
  <si>
    <t>Torçal de apito, de boa qualidade.</t>
  </si>
  <si>
    <t>Fiel duplo trançado, de boa qualidade.</t>
  </si>
  <si>
    <t>TOTAL</t>
  </si>
  <si>
    <t>Par  de  calçado: botina de segurança,  solado baixo, vaqueta relax, poliuretano   (pu) bi-densidade, hidrofugado, elástico       nas aterais/recoberto, acolchoado, antibacteriana, biqueira plástica, com certificado de aprovação do Ministério do Trabalho e Emprego, de boa qualidade.</t>
  </si>
  <si>
    <t>DESCRIÇÃO DE EQUIPAMENTOS</t>
  </si>
  <si>
    <t>Valor  Unitário (por item)</t>
  </si>
  <si>
    <t>Custo Total por item</t>
  </si>
  <si>
    <t>Custo Total Mensal por Posto</t>
  </si>
  <si>
    <t>Capa  de  chuva,  com  mangas  longas  e  capuz, de boa qualidade</t>
  </si>
  <si>
    <t>Tonfa de Fibra (cassetete)</t>
  </si>
  <si>
    <t>Porta Tonfa (cassetete)</t>
  </si>
  <si>
    <t>Guarda Chuva, de boa qualidade</t>
  </si>
  <si>
    <t>Cinto Tático, de boa qualidade</t>
  </si>
  <si>
    <t>Coldre de cintura, de boa qualidade</t>
  </si>
  <si>
    <t>Capa  de  colete  para  placa  balística,  de  boa qualidade</t>
  </si>
  <si>
    <t>Lanterna   portátil   led   recarregável,   de   boa qualidade.</t>
  </si>
  <si>
    <t>Placa Balística Nível II A.</t>
  </si>
  <si>
    <t>Munição calibre 38, de boa qualidade.</t>
  </si>
  <si>
    <t>Rádios  de  comunicação  p/  Campus  e  áreas Dispersas</t>
  </si>
  <si>
    <t>Revólver calibre 38.</t>
  </si>
  <si>
    <t>Livro de Ocorrência.</t>
  </si>
  <si>
    <t>Cesta básica</t>
  </si>
  <si>
    <t>Materiais / Equipamentos / Armamento</t>
  </si>
  <si>
    <t>Equipamentos / Rádios base - Antenas</t>
  </si>
  <si>
    <t xml:space="preserve">Tipo de Serviços: VIGILANTE 12X36 NOTURNO ARMADO </t>
  </si>
  <si>
    <t>Tipo de Serviços: VIGILANTE 12X36 DIURNO ARMADO CONDUTOR - CAT B</t>
  </si>
  <si>
    <t>Tipo de Serviços: VIGILANTE 12X36 NOTURNO ARMADO CONDUTOR CAT B</t>
  </si>
  <si>
    <t xml:space="preserve">Custos Indiretos                         </t>
  </si>
  <si>
    <t>Custo Total Mensal por empregado</t>
  </si>
  <si>
    <t>EQUIPAMENTOS DE USO COLETIVO - um posto = dois empregados</t>
  </si>
  <si>
    <t>Depre
ciação (Meses)</t>
  </si>
  <si>
    <t>Valor Global Mensal</t>
  </si>
  <si>
    <t>Valor Global Anual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</si>
  <si>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</si>
  <si>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</si>
  <si>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</si>
  <si>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</si>
  <si>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</si>
  <si>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Utiliza-se estatísticas com base em publicações do IBGE, por exemplo E Referencial Técnico de Custo MPF</t>
  </si>
  <si>
    <t>Total da Remuneração</t>
  </si>
  <si>
    <t>Adicional de gratificação condudor de veículo</t>
  </si>
  <si>
    <t xml:space="preserve"> </t>
  </si>
  <si>
    <t>Multa do FGTS sobre o Aviso Prévio Indenizado</t>
  </si>
  <si>
    <t>Multa do FGTS sobre o Aviso Prévio Trabalhado</t>
  </si>
  <si>
    <t>Férias e Adicional de Férias - Consulta ao MPOG 12,10%</t>
  </si>
  <si>
    <t>Base de cálculo para Encargos e Tributos</t>
  </si>
  <si>
    <t>Substituto na cobertura de Férias: 1/3 e 13º Salário</t>
  </si>
  <si>
    <t>Desconto Auxílio-Refeição/Alimentação</t>
  </si>
  <si>
    <t>Desconto Auxílio saúde</t>
  </si>
  <si>
    <r>
      <rPr>
        <b/>
        <sz val="11"/>
        <rFont val="Arial Narrow"/>
        <family val="2"/>
      </rPr>
      <t>Qdte
Anual por Posto</t>
    </r>
  </si>
  <si>
    <t>15d x 2 x R$ 4,5</t>
  </si>
  <si>
    <t>15d x 2 x R$ 4,50</t>
  </si>
  <si>
    <t>Tipo de Serviços: VIGILANTE 12X36 DIURNO ARMADO CONDUTOR - CAT A</t>
  </si>
  <si>
    <t>Tipo de Serviços: VIGILANTE 12X36 NOTURNO ARMADO CONDUTOR CAT A</t>
  </si>
  <si>
    <t>ESPECIFICAÇÃO</t>
  </si>
  <si>
    <t>CATSER</t>
  </si>
  <si>
    <t>UNIDADE DE MEDIDA</t>
  </si>
  <si>
    <t>QUANTIDADE DE POSTOS</t>
  </si>
  <si>
    <t>VALOR UNITÁRIO</t>
  </si>
  <si>
    <t>VALOR TOTAL</t>
  </si>
  <si>
    <r>
      <t xml:space="preserve">Vigilância Armada - 12h diárias – </t>
    </r>
    <r>
      <rPr>
        <u/>
        <sz val="11"/>
        <color rgb="FF000000"/>
        <rFont val="Calibri"/>
        <family val="2"/>
        <scheme val="minor"/>
      </rPr>
      <t>Diurnas</t>
    </r>
    <r>
      <rPr>
        <sz val="11"/>
        <color rgb="FF000000"/>
        <rFont val="Calibri"/>
        <family val="2"/>
        <scheme val="minor"/>
      </rPr>
      <t>, segunda-feira a domingo, envolvendo 2 (dois) vigilantes em turnos de 12 (doze) x 36 (trinta e seis) horas - CAPITAL</t>
    </r>
  </si>
  <si>
    <t>Posto</t>
  </si>
  <si>
    <t>Vigilância Armada - 12h diárias – Noturnas, segunda-feira a domingo, envolvendo 2 (dois) vigilantes em turnos de 12 (doze) x 36 (trinta e seis) horas. CAPITAL</t>
  </si>
  <si>
    <r>
      <t xml:space="preserve">Vigilância Armada Condutor Carro - 12h diárias – </t>
    </r>
    <r>
      <rPr>
        <b/>
        <sz val="11"/>
        <color rgb="FF000000"/>
        <rFont val="Calibri"/>
        <family val="2"/>
        <scheme val="minor"/>
      </rPr>
      <t>Diurnas,</t>
    </r>
    <r>
      <rPr>
        <sz val="11"/>
        <color rgb="FF000000"/>
        <rFont val="Calibri"/>
        <family val="2"/>
        <scheme val="minor"/>
      </rPr>
      <t xml:space="preserve"> segunda-feira a domingo, envolvendo 2 (dois) vigilantes em turnos de 12 (doze) x 36 (trinta e seis) horas. Habilitado na categoria “B”- CAPITAL</t>
    </r>
  </si>
  <si>
    <r>
      <t xml:space="preserve">Vigilância Armada Condutor Carro, - 12h diárias – </t>
    </r>
    <r>
      <rPr>
        <b/>
        <sz val="11"/>
        <color rgb="FF000000"/>
        <rFont val="Calibri"/>
        <family val="2"/>
        <scheme val="minor"/>
      </rPr>
      <t>Noturnas,</t>
    </r>
    <r>
      <rPr>
        <sz val="11"/>
        <color rgb="FF000000"/>
        <rFont val="Calibri"/>
        <family val="2"/>
        <scheme val="minor"/>
      </rPr>
      <t xml:space="preserve"> segunda-feira a domingo, envolvendo 2 (dois) vigilantes em turnos de 12 (doze) x 36 (trinta e seis) horas. Habilitado na categoria “B” CAPITAL</t>
    </r>
  </si>
  <si>
    <r>
      <t xml:space="preserve">Vigilância Armada Condutor Motocicleta - 12h diárias – </t>
    </r>
    <r>
      <rPr>
        <b/>
        <sz val="11"/>
        <color rgb="FF000000"/>
        <rFont val="Calibri"/>
        <family val="2"/>
        <scheme val="minor"/>
      </rPr>
      <t>Diurnas,</t>
    </r>
    <r>
      <rPr>
        <sz val="11"/>
        <color rgb="FF000000"/>
        <rFont val="Calibri"/>
        <family val="2"/>
        <scheme val="minor"/>
      </rPr>
      <t xml:space="preserve"> segunda-feira a domingo, envolvendo 2 (dois) vigilantes em turnos de 12 (doze) x 36 (trinta e seis) horas. Habilitado na categoria “A”- CAPITAL</t>
    </r>
  </si>
  <si>
    <r>
      <t xml:space="preserve">Vigilância Armada Condutor Motocicleta - 12h diárias – </t>
    </r>
    <r>
      <rPr>
        <b/>
        <sz val="11"/>
        <color rgb="FF000000"/>
        <rFont val="Calibri"/>
        <family val="2"/>
        <scheme val="minor"/>
      </rPr>
      <t>Noturnas,</t>
    </r>
    <r>
      <rPr>
        <sz val="11"/>
        <color rgb="FF000000"/>
        <rFont val="Calibri"/>
        <family val="2"/>
        <scheme val="minor"/>
      </rPr>
      <t xml:space="preserve"> segunda-feira a domingo, envolvendo 2 (dois) vigilantes em turnos de 12 (doze) x 36 (trinta e seis) horas. Habilitado na categoria “A” -CAPITAL</t>
    </r>
  </si>
  <si>
    <r>
      <t xml:space="preserve">Vigilância Armada ambiental- 12h diárias – </t>
    </r>
    <r>
      <rPr>
        <b/>
        <sz val="11"/>
        <color rgb="FF000000"/>
        <rFont val="Calibri"/>
        <family val="2"/>
        <scheme val="minor"/>
      </rPr>
      <t>Diurno,</t>
    </r>
    <r>
      <rPr>
        <sz val="11"/>
        <color rgb="FF000000"/>
        <rFont val="Calibri"/>
        <family val="2"/>
        <scheme val="minor"/>
      </rPr>
      <t xml:space="preserve"> segunda-feira a domingo, envolvendo 2 (dois) vigilantes em turnos de 12 (doze) x 36 (trinta e seis) horas.  CAPITAL</t>
    </r>
  </si>
  <si>
    <r>
      <t xml:space="preserve">Vigilância Armada - 12h diárias – Diurnas, segunda-feira a domingo, envolvendo 2 (dois) vigilantes em turnos de 12 (doze) x 36 (trinta e seis) horas. </t>
    </r>
    <r>
      <rPr>
        <b/>
        <u/>
        <sz val="9"/>
        <color rgb="FF000000"/>
        <rFont val="Calibri"/>
        <family val="2"/>
        <scheme val="minor"/>
      </rPr>
      <t>INTERIOR</t>
    </r>
  </si>
  <si>
    <r>
      <t xml:space="preserve">Vigilância Armada - 12h diárias – Noturnas, segunda-feira a domingo, envolvendo 2 (dois) vigilantes em turnos de 12 (doze) x 36 (trinta e seis) horas. </t>
    </r>
    <r>
      <rPr>
        <b/>
        <u/>
        <sz val="9"/>
        <color rgb="FF000000"/>
        <rFont val="Calibri"/>
        <family val="2"/>
        <scheme val="minor"/>
      </rPr>
      <t>INTERIOR.</t>
    </r>
  </si>
  <si>
    <t>Motocicleta Cross 300 / Caracterizada (GIROFLEX /RADIO/SIRENE/ adesivo UFAM/ Combustível consumo diário150km</t>
  </si>
  <si>
    <t>,</t>
  </si>
  <si>
    <t>IN 07/2018</t>
  </si>
  <si>
    <t>Mensal</t>
  </si>
  <si>
    <t>Anual</t>
  </si>
  <si>
    <t>((M1/180)*1,5)*15</t>
  </si>
  <si>
    <t>Gasolina para consumo de motocicletas (litros) a R$ 5,29</t>
  </si>
  <si>
    <t>Veículo picape 4x4 cabine dupla Caracterizada (GIROFLEX /RADIO/SIRENE/ adesivo UFAM/ Combustível consumo diário 300km/24H (UFAM-FAEXP)</t>
  </si>
  <si>
    <t>Veículo picape 4x4 cabine dupla Caracterizada (GIROFLEX /RADIO/SIRENE/ adesivo UFAM/ Combustível consumo diário 150km/24H (UFAM-DISPERSAS)</t>
  </si>
  <si>
    <t>Óleo diesel para consumo de pickups (litros) a R$ 6,29 (UFAM-FAEXP)</t>
  </si>
  <si>
    <t>Óleo diesel para consumo de pickups (litros) a R$ 6,29 (UFAM-DISPERSAS)</t>
  </si>
  <si>
    <t>TERMO ADITIVO A CONVENÇÃO COLETIVA DE TRABALHO 2024/2025</t>
  </si>
  <si>
    <t xml:space="preserve">Confira a autenticidade no endereço </t>
  </si>
  <si>
    <t>http://www3.mte.gov.br/sistemas/mediador/</t>
  </si>
  <si>
    <t>DATA-BASE</t>
  </si>
  <si>
    <t>VIGÊNCIA</t>
  </si>
  <si>
    <t>ABRANGÊNCIA</t>
  </si>
  <si>
    <t>a todos os trabalhadores pertencentes ao grupo econômico das Empresas de Vigilância e Segurança do Estado do Amazonas, com abrangência territorial em Itacoatiara/AM, Manaus/AM, Parintins/AM e Presidente Figueiredo/AM.</t>
  </si>
  <si>
    <t>SALÁRIOS, REAJUSTES E PAGAMENTO</t>
  </si>
  <si>
    <t>Piso Salarial</t>
  </si>
  <si>
    <t>Tíquete Alimentação</t>
  </si>
  <si>
    <t>Vale Transporte</t>
  </si>
  <si>
    <t>Plano de Saúde</t>
  </si>
  <si>
    <t>Plano Odontológico</t>
  </si>
  <si>
    <t xml:space="preserve">Vigilante de Eventos PLUS Diurno </t>
  </si>
  <si>
    <t xml:space="preserve">Vigilante de Eventos PLUS Noturno </t>
  </si>
  <si>
    <t>GRATIFICAÇÕES, ADICIONAIS, AUXÍLIOS E OUTROS</t>
  </si>
  <si>
    <t>Desconto</t>
  </si>
  <si>
    <t xml:space="preserve">NÚMERO DE REGISTRO NO MTE: </t>
  </si>
  <si>
    <t>AM000057/2024</t>
  </si>
  <si>
    <t xml:space="preserve">DATA DE REGISTRO NO MTE:  </t>
  </si>
  <si>
    <t>NÚMERO DA SOLICITAÇÃO:</t>
  </si>
  <si>
    <t xml:space="preserve"> MR005536/2024</t>
  </si>
  <si>
    <t>NÚMERO DO PROCESSO:</t>
  </si>
  <si>
    <t xml:space="preserve"> 13621.202330/2024-58 </t>
  </si>
  <si>
    <t xml:space="preserve">DATA DO PROTOCOLO: </t>
  </si>
  <si>
    <t>01/02/2024 a 31/01/2025</t>
  </si>
  <si>
    <t xml:space="preserve">Vigilante Patrimonial (Masc. e Fem.) </t>
  </si>
  <si>
    <t xml:space="preserve">Inspetor de Segurança Patrimonial </t>
  </si>
  <si>
    <t xml:space="preserve"> Supervisor </t>
  </si>
  <si>
    <t xml:space="preserve">Vigilante de Eventos </t>
  </si>
  <si>
    <t xml:space="preserve">Operador de ATM </t>
  </si>
  <si>
    <t xml:space="preserve">Escolta Armada  </t>
  </si>
  <si>
    <t xml:space="preserve">Vigilante Fluvial </t>
  </si>
  <si>
    <t xml:space="preserve">Vigilante Segurança Pessoal </t>
  </si>
  <si>
    <t xml:space="preserve">Vigilante Líder  </t>
  </si>
  <si>
    <t>10% s/piso Vigilante Patrimonial</t>
  </si>
  <si>
    <t xml:space="preserve">Vigilante AVSEC (Aeroportuário) </t>
  </si>
  <si>
    <t xml:space="preserve">10% s/piso Vigilante Patrimonial </t>
  </si>
  <si>
    <t xml:space="preserve">Vigilante Condutor de Carro Leve </t>
  </si>
  <si>
    <t xml:space="preserve">Vigilante Ambiental </t>
  </si>
  <si>
    <t xml:space="preserve">PROCESSO SEI 23105.014412/2024-30 </t>
  </si>
  <si>
    <t>CBO</t>
  </si>
  <si>
    <t>R$31,20*15</t>
  </si>
  <si>
    <t>Transporte</t>
  </si>
  <si>
    <t>Inspetor de Segurança Patrimonial  - 12h diárias – Diurnas, segunda-feira a domingo, envolvendo 2 (dois) vigilantes em turnos de 12 (doze) x 36 (trinta e seis) horas - CAPITAL</t>
  </si>
  <si>
    <t>Inspetor de Segurança Patrimonial   - 12h diárias – Noturnas, segunda-feira a domingo, envolvendo 2 (dois) vigilantes em turnos de 12 (doze) x 36 (trinta e seis) horas. CAPITAL</t>
  </si>
  <si>
    <t xml:space="preserve">Transporte </t>
  </si>
  <si>
    <t>Fórmula</t>
  </si>
  <si>
    <t>Auxílio-Refeição/Alimentação</t>
  </si>
  <si>
    <r>
      <t>Auxílio Saúde</t>
    </r>
    <r>
      <rPr>
        <sz val="10"/>
        <color rgb="FF0070C0"/>
        <rFont val="Times New Roman"/>
        <family val="1"/>
      </rPr>
      <t/>
    </r>
  </si>
  <si>
    <t>Auxílio Saúde</t>
  </si>
  <si>
    <r>
      <t>Auxílio Saúde</t>
    </r>
    <r>
      <rPr>
        <sz val="10"/>
        <color theme="1"/>
        <rFont val="Times New Roman"/>
        <family val="1"/>
      </rPr>
      <t/>
    </r>
  </si>
  <si>
    <t>Camisa social, mangas COMPRIDA, tecido tricioline mista  com  emblema  da  empresa  pintado  no lado superior esquerdo, de boa qualidade.* FAEXP, MATEIRO, MOTO</t>
  </si>
  <si>
    <t>Perneira de Bidim 3 Talas com Velcro. Proteção contra Picada de Cobra e Animais Peçonhentos Produto com CA MATEIRO FAEXP, MOTO</t>
  </si>
  <si>
    <t>Desconto Plano Odontológico</t>
  </si>
  <si>
    <t>autonomia 13,2 km/litro</t>
  </si>
  <si>
    <t>autonomia 26,5 km/litro</t>
  </si>
  <si>
    <t>300km / dia  (para 2 trajetos)</t>
  </si>
  <si>
    <t>150 km/dia para 3 trajetos</t>
  </si>
  <si>
    <t xml:space="preserve">Custo Total Mensal </t>
  </si>
  <si>
    <r>
      <t xml:space="preserve">13º Salário </t>
    </r>
    <r>
      <rPr>
        <sz val="11"/>
        <rFont val="Times New Roman"/>
        <family val="1"/>
      </rPr>
      <t xml:space="preserve"> (CF/88, art. 7º, VIII.) =(1/12)*100=8,33%</t>
    </r>
  </si>
  <si>
    <r>
      <rPr>
        <sz val="12"/>
        <rFont val="Calibri"/>
        <family val="2"/>
      </rPr>
      <t>(∑</t>
    </r>
    <r>
      <rPr>
        <sz val="12"/>
        <rFont val="Times New Roman"/>
        <family val="1"/>
      </rPr>
      <t xml:space="preserve"> do módulo 2)</t>
    </r>
  </si>
  <si>
    <t xml:space="preserve">Tipo de Serviços: INSPETOR 12X36 DIURNO ARMADO </t>
  </si>
  <si>
    <t xml:space="preserve">Tipo de Serviços: INSPETOR 12X36 NOTURNO ARMADO </t>
  </si>
</sst>
</file>

<file path=xl/styles.xml><?xml version="1.0" encoding="utf-8"?>
<styleSheet xmlns="http://schemas.openxmlformats.org/spreadsheetml/2006/main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00%"/>
    <numFmt numFmtId="168" formatCode="00"/>
    <numFmt numFmtId="169" formatCode="&quot; &quot;[$R$]#,##0.00&quot; &quot;;&quot;-&quot;[$R$]#,##0.00&quot; &quot;;&quot; &quot;[$R$]&quot;-&quot;00&quot; &quot;;&quot; &quot;@&quot; &quot;"/>
    <numFmt numFmtId="170" formatCode="[$$-409]#,##0.00;[Red]&quot;-&quot;[$$-409]#,##0.00"/>
    <numFmt numFmtId="171" formatCode="_-* #,##0.0000_-;\-* #,##0.0000_-;_-* &quot;-&quot;??_-;_-@_-"/>
    <numFmt numFmtId="172" formatCode="0.0000%"/>
    <numFmt numFmtId="173" formatCode="_-* #,##0.000_-;\-* #,##0.000_-;_-* &quot;-&quot;??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1"/>
      <name val="Arial Narrow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color rgb="FF0070C0"/>
      <name val="Times New Roman"/>
      <family val="1"/>
    </font>
    <font>
      <sz val="9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0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2"/>
    </font>
    <font>
      <sz val="12"/>
      <name val="Calibri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name val="Arial Narrow"/>
      <family val="2"/>
    </font>
    <font>
      <sz val="9"/>
      <name val="Calibri"/>
      <family val="2"/>
      <scheme val="minor"/>
    </font>
    <font>
      <sz val="9"/>
      <name val="Verdana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A6A6A6"/>
      </patternFill>
    </fill>
    <fill>
      <patternFill patternType="solid">
        <fgColor theme="8" tint="0.59999389629810485"/>
        <bgColor indexed="44"/>
      </patternFill>
    </fill>
    <fill>
      <patternFill patternType="solid">
        <fgColor rgb="FFA6A6A6"/>
      </patternFill>
    </fill>
    <fill>
      <patternFill patternType="solid">
        <fgColor rgb="FFF2F4F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8" applyNumberFormat="0" applyAlignment="0" applyProtection="0"/>
    <xf numFmtId="0" fontId="11" fillId="7" borderId="9" applyNumberFormat="0" applyAlignment="0" applyProtection="0"/>
    <xf numFmtId="0" fontId="12" fillId="7" borderId="8" applyNumberFormat="0" applyAlignment="0" applyProtection="0"/>
    <xf numFmtId="0" fontId="13" fillId="0" borderId="10" applyNumberFormat="0" applyFill="0" applyAlignment="0" applyProtection="0"/>
    <xf numFmtId="0" fontId="14" fillId="8" borderId="11" applyNumberFormat="0" applyAlignment="0" applyProtection="0"/>
    <xf numFmtId="0" fontId="15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 applyNumberFormat="0" applyBorder="0" applyProtection="0">
      <alignment horizontal="center"/>
    </xf>
    <xf numFmtId="0" fontId="26" fillId="0" borderId="0" applyNumberFormat="0" applyBorder="0" applyProtection="0">
      <alignment horizontal="center" textRotation="90"/>
    </xf>
    <xf numFmtId="0" fontId="27" fillId="0" borderId="0" applyNumberFormat="0" applyBorder="0" applyProtection="0"/>
    <xf numFmtId="170" fontId="27" fillId="0" borderId="0" applyBorder="0" applyProtection="0"/>
    <xf numFmtId="0" fontId="32" fillId="0" borderId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2">
    <xf numFmtId="0" fontId="0" fillId="0" borderId="0" xfId="0"/>
    <xf numFmtId="0" fontId="21" fillId="0" borderId="0" xfId="57" applyFont="1" applyAlignment="1">
      <alignment vertical="center"/>
    </xf>
    <xf numFmtId="14" fontId="21" fillId="0" borderId="21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4" fillId="0" borderId="14" xfId="0" applyFont="1" applyBorder="1" applyAlignment="1">
      <alignment vertical="center" wrapText="1"/>
    </xf>
    <xf numFmtId="0" fontId="31" fillId="0" borderId="0" xfId="55" applyFont="1" applyAlignment="1">
      <alignment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0" xfId="55" applyFont="1" applyAlignment="1">
      <alignment horizontal="left" vertical="center"/>
    </xf>
    <xf numFmtId="0" fontId="31" fillId="0" borderId="0" xfId="55" applyFont="1" applyAlignment="1">
      <alignment horizontal="center" vertical="center"/>
    </xf>
    <xf numFmtId="1" fontId="31" fillId="0" borderId="0" xfId="55" applyNumberFormat="1" applyFont="1" applyAlignment="1">
      <alignment vertical="center"/>
    </xf>
    <xf numFmtId="0" fontId="31" fillId="0" borderId="2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0" fillId="0" borderId="0" xfId="0" applyNumberFormat="1"/>
    <xf numFmtId="4" fontId="0" fillId="0" borderId="0" xfId="0" applyNumberFormat="1"/>
    <xf numFmtId="43" fontId="24" fillId="0" borderId="14" xfId="1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1" fontId="30" fillId="0" borderId="17" xfId="0" applyNumberFormat="1" applyFont="1" applyBorder="1" applyAlignment="1">
      <alignment horizontal="center" vertical="center" wrapText="1"/>
    </xf>
    <xf numFmtId="43" fontId="31" fillId="0" borderId="0" xfId="1" applyFont="1" applyAlignment="1">
      <alignment horizontal="center" vertical="center"/>
    </xf>
    <xf numFmtId="43" fontId="23" fillId="36" borderId="14" xfId="1" applyFont="1" applyFill="1" applyBorder="1" applyAlignment="1">
      <alignment horizontal="center" vertical="center" wrapText="1"/>
    </xf>
    <xf numFmtId="0" fontId="31" fillId="39" borderId="17" xfId="0" applyFont="1" applyFill="1" applyBorder="1" applyAlignment="1">
      <alignment horizontal="left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5" fillId="0" borderId="0" xfId="57" applyFont="1" applyAlignment="1">
      <alignment vertical="center"/>
    </xf>
    <xf numFmtId="0" fontId="40" fillId="0" borderId="17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top" wrapText="1"/>
    </xf>
    <xf numFmtId="0" fontId="38" fillId="0" borderId="17" xfId="0" applyFont="1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4" fontId="38" fillId="0" borderId="17" xfId="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4" fontId="0" fillId="0" borderId="0" xfId="76" applyFont="1"/>
    <xf numFmtId="44" fontId="0" fillId="0" borderId="0" xfId="0" applyNumberFormat="1"/>
    <xf numFmtId="44" fontId="0" fillId="0" borderId="17" xfId="76" applyFont="1" applyBorder="1"/>
    <xf numFmtId="4" fontId="17" fillId="0" borderId="17" xfId="0" applyNumberFormat="1" applyFont="1" applyBorder="1"/>
    <xf numFmtId="0" fontId="17" fillId="0" borderId="17" xfId="0" applyFont="1" applyBorder="1"/>
    <xf numFmtId="0" fontId="30" fillId="42" borderId="35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7" fillId="0" borderId="0" xfId="0" applyFont="1"/>
    <xf numFmtId="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0" fontId="41" fillId="0" borderId="23" xfId="0" applyFont="1" applyBorder="1" applyAlignment="1">
      <alignment vertical="top" wrapText="1"/>
    </xf>
    <xf numFmtId="4" fontId="38" fillId="0" borderId="23" xfId="0" applyNumberFormat="1" applyFont="1" applyBorder="1" applyAlignment="1">
      <alignment horizontal="center" vertical="center" wrapText="1"/>
    </xf>
    <xf numFmtId="43" fontId="21" fillId="0" borderId="0" xfId="57" applyNumberFormat="1" applyFont="1" applyAlignment="1">
      <alignment vertical="center"/>
    </xf>
    <xf numFmtId="0" fontId="31" fillId="39" borderId="23" xfId="0" applyFont="1" applyFill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168" fontId="21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0" borderId="0" xfId="0" applyFont="1"/>
    <xf numFmtId="4" fontId="24" fillId="0" borderId="3" xfId="0" applyNumberFormat="1" applyFont="1" applyBorder="1"/>
    <xf numFmtId="43" fontId="24" fillId="0" borderId="14" xfId="1" applyFont="1" applyBorder="1" applyAlignment="1">
      <alignment horizontal="center" vertical="center" wrapText="1"/>
    </xf>
    <xf numFmtId="0" fontId="48" fillId="0" borderId="0" xfId="0" applyFont="1"/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3" fontId="24" fillId="0" borderId="0" xfId="0" applyNumberFormat="1" applyFont="1"/>
    <xf numFmtId="43" fontId="21" fillId="0" borderId="32" xfId="0" applyNumberFormat="1" applyFont="1" applyBorder="1" applyAlignment="1">
      <alignment vertical="center" wrapText="1"/>
    </xf>
    <xf numFmtId="43" fontId="48" fillId="0" borderId="0" xfId="0" applyNumberFormat="1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0" fontId="24" fillId="0" borderId="16" xfId="52" applyNumberFormat="1" applyFont="1" applyBorder="1"/>
    <xf numFmtId="43" fontId="24" fillId="0" borderId="14" xfId="0" applyNumberFormat="1" applyFont="1" applyBorder="1" applyAlignment="1">
      <alignment horizontal="center" vertical="center" wrapText="1"/>
    </xf>
    <xf numFmtId="10" fontId="24" fillId="0" borderId="3" xfId="52" applyNumberFormat="1" applyFont="1" applyFill="1" applyBorder="1"/>
    <xf numFmtId="10" fontId="23" fillId="36" borderId="14" xfId="0" applyNumberFormat="1" applyFont="1" applyFill="1" applyBorder="1" applyAlignment="1">
      <alignment horizontal="right" vertical="center" wrapText="1"/>
    </xf>
    <xf numFmtId="43" fontId="23" fillId="36" borderId="14" xfId="0" applyNumberFormat="1" applyFont="1" applyFill="1" applyBorder="1" applyAlignment="1">
      <alignment horizontal="center" vertical="center" wrapText="1"/>
    </xf>
    <xf numFmtId="10" fontId="24" fillId="0" borderId="14" xfId="0" applyNumberFormat="1" applyFont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wrapText="1"/>
    </xf>
    <xf numFmtId="0" fontId="50" fillId="0" borderId="0" xfId="0" applyFont="1" applyAlignment="1">
      <alignment vertical="center" wrapText="1"/>
    </xf>
    <xf numFmtId="10" fontId="23" fillId="36" borderId="14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3" fontId="24" fillId="0" borderId="14" xfId="1" applyFont="1" applyBorder="1" applyAlignment="1">
      <alignment horizontal="right" vertical="center" wrapText="1"/>
    </xf>
    <xf numFmtId="43" fontId="51" fillId="0" borderId="0" xfId="0" applyNumberFormat="1" applyFont="1"/>
    <xf numFmtId="9" fontId="24" fillId="0" borderId="14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8" fontId="24" fillId="0" borderId="14" xfId="1" applyNumberFormat="1" applyFont="1" applyBorder="1" applyAlignment="1">
      <alignment horizontal="center" vertical="center" wrapText="1"/>
    </xf>
    <xf numFmtId="8" fontId="24" fillId="0" borderId="14" xfId="1" applyNumberFormat="1" applyFont="1" applyBorder="1" applyAlignment="1">
      <alignment horizontal="right" vertical="center" wrapText="1"/>
    </xf>
    <xf numFmtId="0" fontId="21" fillId="0" borderId="0" xfId="0" applyFont="1"/>
    <xf numFmtId="9" fontId="24" fillId="0" borderId="14" xfId="1" applyNumberFormat="1" applyFont="1" applyBorder="1" applyAlignment="1">
      <alignment horizontal="center" vertical="center" wrapText="1"/>
    </xf>
    <xf numFmtId="43" fontId="21" fillId="0" borderId="0" xfId="0" applyNumberFormat="1" applyFont="1"/>
    <xf numFmtId="9" fontId="24" fillId="0" borderId="14" xfId="0" applyNumberFormat="1" applyFont="1" applyBorder="1" applyAlignment="1">
      <alignment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43" fontId="23" fillId="37" borderId="14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49" fillId="0" borderId="3" xfId="0" applyFont="1" applyBorder="1" applyAlignment="1">
      <alignment horizontal="center" vertical="center" wrapText="1"/>
    </xf>
    <xf numFmtId="10" fontId="24" fillId="0" borderId="32" xfId="0" applyNumberFormat="1" applyFont="1" applyBorder="1"/>
    <xf numFmtId="0" fontId="24" fillId="0" borderId="14" xfId="0" applyFont="1" applyBorder="1" applyAlignment="1">
      <alignment horizontal="justify" vertical="center" wrapText="1"/>
    </xf>
    <xf numFmtId="167" fontId="24" fillId="0" borderId="0" xfId="52" applyNumberFormat="1" applyFont="1" applyFill="1" applyAlignment="1">
      <alignment horizontal="center"/>
    </xf>
    <xf numFmtId="43" fontId="24" fillId="0" borderId="3" xfId="0" applyNumberFormat="1" applyFont="1" applyBorder="1" applyAlignment="1">
      <alignment horizontal="center" vertical="center" wrapText="1"/>
    </xf>
    <xf numFmtId="43" fontId="24" fillId="0" borderId="32" xfId="0" applyNumberFormat="1" applyFont="1" applyBorder="1" applyAlignment="1">
      <alignment horizontal="center" vertical="center" wrapText="1"/>
    </xf>
    <xf numFmtId="10" fontId="24" fillId="0" borderId="3" xfId="52" applyNumberFormat="1" applyFont="1" applyBorder="1" applyAlignment="1">
      <alignment horizontal="center" vertical="center" wrapText="1"/>
    </xf>
    <xf numFmtId="10" fontId="24" fillId="0" borderId="3" xfId="52" applyNumberFormat="1" applyFont="1" applyFill="1" applyBorder="1" applyAlignment="1">
      <alignment horizontal="center" vertical="center" wrapText="1"/>
    </xf>
    <xf numFmtId="167" fontId="48" fillId="0" borderId="3" xfId="52" applyNumberFormat="1" applyFont="1" applyFill="1" applyBorder="1" applyAlignment="1">
      <alignment horizontal="center"/>
    </xf>
    <xf numFmtId="10" fontId="23" fillId="38" borderId="3" xfId="0" applyNumberFormat="1" applyFont="1" applyFill="1" applyBorder="1" applyAlignment="1">
      <alignment horizontal="center" vertical="center" wrapText="1"/>
    </xf>
    <xf numFmtId="43" fontId="23" fillId="38" borderId="14" xfId="0" applyNumberFormat="1" applyFont="1" applyFill="1" applyBorder="1" applyAlignment="1">
      <alignment horizontal="center" vertical="center" wrapText="1"/>
    </xf>
    <xf numFmtId="172" fontId="24" fillId="0" borderId="0" xfId="52" applyNumberFormat="1" applyFont="1"/>
    <xf numFmtId="0" fontId="24" fillId="0" borderId="18" xfId="0" applyFont="1" applyBorder="1"/>
    <xf numFmtId="0" fontId="22" fillId="0" borderId="0" xfId="0" applyFont="1" applyAlignment="1">
      <alignment vertical="center" wrapText="1"/>
    </xf>
    <xf numFmtId="10" fontId="22" fillId="0" borderId="0" xfId="52" applyNumberFormat="1" applyFont="1" applyAlignment="1">
      <alignment vertical="center" wrapText="1"/>
    </xf>
    <xf numFmtId="173" fontId="48" fillId="0" borderId="0" xfId="0" applyNumberFormat="1" applyFont="1"/>
    <xf numFmtId="167" fontId="24" fillId="0" borderId="3" xfId="52" applyNumberFormat="1" applyFont="1" applyBorder="1" applyAlignment="1">
      <alignment horizontal="center"/>
    </xf>
    <xf numFmtId="10" fontId="24" fillId="0" borderId="0" xfId="52" applyNumberFormat="1" applyFont="1"/>
    <xf numFmtId="0" fontId="24" fillId="0" borderId="0" xfId="0" applyFont="1" applyAlignment="1">
      <alignment wrapText="1"/>
    </xf>
    <xf numFmtId="10" fontId="24" fillId="0" borderId="14" xfId="52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167" fontId="24" fillId="0" borderId="15" xfId="52" applyNumberFormat="1" applyFont="1" applyBorder="1" applyAlignment="1">
      <alignment horizontal="center" vertical="center" wrapText="1"/>
    </xf>
    <xf numFmtId="10" fontId="23" fillId="0" borderId="14" xfId="0" applyNumberFormat="1" applyFont="1" applyBorder="1" applyAlignment="1">
      <alignment horizontal="center" vertical="center" wrapText="1"/>
    </xf>
    <xf numFmtId="43" fontId="23" fillId="0" borderId="14" xfId="0" applyNumberFormat="1" applyFont="1" applyBorder="1" applyAlignment="1">
      <alignment horizontal="center" vertical="center" wrapText="1"/>
    </xf>
    <xf numFmtId="10" fontId="21" fillId="0" borderId="14" xfId="52" applyNumberFormat="1" applyFont="1" applyBorder="1" applyAlignment="1">
      <alignment vertical="center" wrapText="1"/>
    </xf>
    <xf numFmtId="4" fontId="54" fillId="0" borderId="27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3" fontId="23" fillId="0" borderId="14" xfId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48" fillId="0" borderId="34" xfId="0" applyFont="1" applyBorder="1"/>
    <xf numFmtId="0" fontId="23" fillId="0" borderId="30" xfId="0" applyFont="1" applyBorder="1" applyAlignment="1">
      <alignment horizontal="center" vertical="center" wrapText="1"/>
    </xf>
    <xf numFmtId="0" fontId="55" fillId="41" borderId="0" xfId="67" applyFont="1" applyFill="1" applyAlignment="1">
      <alignment horizontal="center" vertical="center" wrapText="1"/>
    </xf>
    <xf numFmtId="43" fontId="24" fillId="0" borderId="22" xfId="1" applyFont="1" applyBorder="1" applyAlignment="1">
      <alignment horizontal="center" vertical="center" wrapText="1"/>
    </xf>
    <xf numFmtId="49" fontId="54" fillId="0" borderId="0" xfId="67" applyNumberFormat="1" applyFont="1" applyAlignment="1">
      <alignment vertical="center" wrapText="1"/>
    </xf>
    <xf numFmtId="10" fontId="23" fillId="0" borderId="14" xfId="52" applyNumberFormat="1" applyFont="1" applyBorder="1" applyAlignment="1">
      <alignment horizontal="center" vertical="center" wrapText="1"/>
    </xf>
    <xf numFmtId="43" fontId="24" fillId="39" borderId="1" xfId="1" applyFont="1" applyFill="1" applyBorder="1" applyAlignment="1">
      <alignment horizontal="center" vertical="center" wrapText="1"/>
    </xf>
    <xf numFmtId="10" fontId="24" fillId="0" borderId="14" xfId="1" applyNumberFormat="1" applyFont="1" applyBorder="1" applyAlignment="1">
      <alignment horizontal="center" vertical="center" wrapText="1"/>
    </xf>
    <xf numFmtId="43" fontId="24" fillId="39" borderId="3" xfId="1" applyFont="1" applyFill="1" applyBorder="1" applyAlignment="1">
      <alignment horizontal="center" vertical="center" wrapText="1"/>
    </xf>
    <xf numFmtId="167" fontId="23" fillId="36" borderId="14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7" fontId="23" fillId="36" borderId="0" xfId="0" applyNumberFormat="1" applyFont="1" applyFill="1" applyAlignment="1">
      <alignment horizontal="center" vertical="center" wrapText="1"/>
    </xf>
    <xf numFmtId="43" fontId="23" fillId="0" borderId="0" xfId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0" fontId="24" fillId="0" borderId="0" xfId="52" applyNumberFormat="1" applyFont="1" applyBorder="1" applyAlignment="1">
      <alignment horizontal="center" vertical="center" wrapText="1"/>
    </xf>
    <xf numFmtId="43" fontId="24" fillId="0" borderId="0" xfId="1" applyFont="1" applyBorder="1" applyAlignment="1">
      <alignment horizontal="center" vertical="center" wrapText="1"/>
    </xf>
    <xf numFmtId="43" fontId="48" fillId="0" borderId="0" xfId="1" applyFont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43" fontId="24" fillId="0" borderId="14" xfId="0" applyNumberFormat="1" applyFont="1" applyBorder="1" applyAlignment="1">
      <alignment vertical="center" wrapText="1"/>
    </xf>
    <xf numFmtId="43" fontId="23" fillId="0" borderId="14" xfId="0" applyNumberFormat="1" applyFont="1" applyBorder="1" applyAlignment="1">
      <alignment vertical="center" wrapText="1"/>
    </xf>
    <xf numFmtId="171" fontId="24" fillId="0" borderId="0" xfId="0" applyNumberFormat="1" applyFont="1"/>
    <xf numFmtId="43" fontId="48" fillId="0" borderId="0" xfId="1" applyFont="1"/>
    <xf numFmtId="0" fontId="48" fillId="0" borderId="0" xfId="0" applyFont="1" applyAlignment="1">
      <alignment wrapText="1"/>
    </xf>
    <xf numFmtId="0" fontId="48" fillId="0" borderId="0" xfId="0" applyFont="1" applyAlignment="1">
      <alignment vertical="center" wrapText="1"/>
    </xf>
    <xf numFmtId="43" fontId="24" fillId="0" borderId="14" xfId="1" applyFont="1" applyBorder="1" applyAlignment="1">
      <alignment vertical="center" wrapText="1"/>
    </xf>
    <xf numFmtId="10" fontId="24" fillId="0" borderId="0" xfId="0" applyNumberFormat="1" applyFont="1"/>
    <xf numFmtId="43" fontId="24" fillId="0" borderId="0" xfId="0" applyNumberFormat="1" applyFont="1" applyAlignment="1">
      <alignment horizontal="center" vertical="center" wrapText="1"/>
    </xf>
    <xf numFmtId="43" fontId="23" fillId="38" borderId="4" xfId="0" applyNumberFormat="1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4" fontId="24" fillId="0" borderId="0" xfId="0" applyNumberFormat="1" applyFont="1"/>
    <xf numFmtId="43" fontId="21" fillId="0" borderId="0" xfId="0" applyNumberFormat="1" applyFont="1" applyAlignment="1">
      <alignment horizontal="center" vertical="center" wrapText="1"/>
    </xf>
    <xf numFmtId="43" fontId="24" fillId="0" borderId="1" xfId="1" applyFont="1" applyBorder="1" applyAlignment="1">
      <alignment horizontal="center" vertical="center" wrapText="1"/>
    </xf>
    <xf numFmtId="43" fontId="24" fillId="0" borderId="0" xfId="1" applyFont="1" applyFill="1" applyBorder="1" applyAlignment="1">
      <alignment horizontal="center" vertical="center" wrapText="1"/>
    </xf>
    <xf numFmtId="43" fontId="23" fillId="0" borderId="4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7" fontId="24" fillId="0" borderId="14" xfId="52" applyNumberFormat="1" applyFont="1" applyBorder="1" applyAlignment="1">
      <alignment horizontal="center" vertical="center" wrapText="1"/>
    </xf>
    <xf numFmtId="167" fontId="24" fillId="0" borderId="14" xfId="1" applyNumberFormat="1" applyFont="1" applyBorder="1" applyAlignment="1">
      <alignment horizontal="center" vertical="center" wrapText="1"/>
    </xf>
    <xf numFmtId="10" fontId="23" fillId="36" borderId="0" xfId="0" applyNumberFormat="1" applyFont="1" applyFill="1" applyAlignment="1">
      <alignment horizontal="center" vertical="center" wrapText="1"/>
    </xf>
    <xf numFmtId="167" fontId="24" fillId="0" borderId="3" xfId="52" applyNumberFormat="1" applyFont="1" applyFill="1" applyBorder="1" applyAlignment="1">
      <alignment horizontal="center"/>
    </xf>
    <xf numFmtId="43" fontId="48" fillId="0" borderId="0" xfId="1" applyFont="1" applyBorder="1" applyAlignment="1">
      <alignment vertical="center"/>
    </xf>
    <xf numFmtId="0" fontId="56" fillId="0" borderId="27" xfId="0" applyFont="1" applyBorder="1" applyAlignment="1">
      <alignment horizontal="center" vertical="center" wrapText="1"/>
    </xf>
    <xf numFmtId="1" fontId="31" fillId="0" borderId="27" xfId="0" applyNumberFormat="1" applyFont="1" applyBorder="1" applyAlignment="1">
      <alignment horizontal="center" vertical="center" shrinkToFit="1"/>
    </xf>
    <xf numFmtId="1" fontId="31" fillId="39" borderId="27" xfId="0" applyNumberFormat="1" applyFont="1" applyFill="1" applyBorder="1" applyAlignment="1">
      <alignment horizontal="center" vertical="center" shrinkToFit="1"/>
    </xf>
    <xf numFmtId="43" fontId="31" fillId="39" borderId="26" xfId="1" applyFont="1" applyFill="1" applyBorder="1" applyAlignment="1">
      <alignment horizontal="right" vertical="center" shrinkToFit="1"/>
    </xf>
    <xf numFmtId="43" fontId="31" fillId="39" borderId="26" xfId="1" applyFont="1" applyFill="1" applyBorder="1" applyAlignment="1">
      <alignment horizontal="center" vertical="center" shrinkToFit="1"/>
    </xf>
    <xf numFmtId="43" fontId="31" fillId="0" borderId="26" xfId="1" applyFont="1" applyBorder="1" applyAlignment="1">
      <alignment horizontal="center" vertical="center" shrinkToFit="1"/>
    </xf>
    <xf numFmtId="43" fontId="31" fillId="0" borderId="26" xfId="1" applyFont="1" applyFill="1" applyBorder="1" applyAlignment="1">
      <alignment horizontal="center" vertical="center" shrinkToFit="1"/>
    </xf>
    <xf numFmtId="1" fontId="31" fillId="0" borderId="28" xfId="0" applyNumberFormat="1" applyFont="1" applyBorder="1" applyAlignment="1">
      <alignment horizontal="center" vertical="center" shrinkToFit="1"/>
    </xf>
    <xf numFmtId="1" fontId="31" fillId="39" borderId="28" xfId="0" applyNumberFormat="1" applyFont="1" applyFill="1" applyBorder="1" applyAlignment="1">
      <alignment horizontal="center" vertical="center" shrinkToFit="1"/>
    </xf>
    <xf numFmtId="43" fontId="31" fillId="39" borderId="29" xfId="1" applyFont="1" applyFill="1" applyBorder="1" applyAlignment="1">
      <alignment horizontal="right" vertical="center" shrinkToFit="1"/>
    </xf>
    <xf numFmtId="43" fontId="31" fillId="39" borderId="29" xfId="1" applyFont="1" applyFill="1" applyBorder="1" applyAlignment="1">
      <alignment horizontal="center" vertical="center" shrinkToFit="1"/>
    </xf>
    <xf numFmtId="43" fontId="31" fillId="0" borderId="29" xfId="1" applyFont="1" applyBorder="1" applyAlignment="1">
      <alignment horizontal="center" vertical="center" shrinkToFit="1"/>
    </xf>
    <xf numFmtId="43" fontId="31" fillId="0" borderId="29" xfId="1" applyFont="1" applyFill="1" applyBorder="1" applyAlignment="1">
      <alignment horizontal="center" vertical="center" shrinkToFit="1"/>
    </xf>
    <xf numFmtId="1" fontId="31" fillId="0" borderId="23" xfId="0" applyNumberFormat="1" applyFont="1" applyBorder="1" applyAlignment="1">
      <alignment horizontal="center" vertical="center" shrinkToFit="1"/>
    </xf>
    <xf numFmtId="0" fontId="57" fillId="0" borderId="23" xfId="0" applyFont="1" applyBorder="1" applyAlignment="1">
      <alignment vertical="top" wrapText="1"/>
    </xf>
    <xf numFmtId="1" fontId="31" fillId="39" borderId="23" xfId="0" applyNumberFormat="1" applyFont="1" applyFill="1" applyBorder="1" applyAlignment="1">
      <alignment horizontal="center" vertical="center" shrinkToFit="1"/>
    </xf>
    <xf numFmtId="43" fontId="31" fillId="39" borderId="23" xfId="1" applyFont="1" applyFill="1" applyBorder="1" applyAlignment="1">
      <alignment horizontal="right" vertical="center" shrinkToFit="1"/>
    </xf>
    <xf numFmtId="43" fontId="31" fillId="39" borderId="23" xfId="1" applyFont="1" applyFill="1" applyBorder="1" applyAlignment="1">
      <alignment horizontal="center" vertical="center" shrinkToFit="1"/>
    </xf>
    <xf numFmtId="43" fontId="31" fillId="0" borderId="23" xfId="1" applyFont="1" applyBorder="1" applyAlignment="1">
      <alignment horizontal="center" vertical="center" shrinkToFit="1"/>
    </xf>
    <xf numFmtId="43" fontId="31" fillId="0" borderId="23" xfId="1" applyFont="1" applyFill="1" applyBorder="1" applyAlignment="1">
      <alignment horizontal="center" vertical="center" shrinkToFit="1"/>
    </xf>
    <xf numFmtId="2" fontId="31" fillId="39" borderId="23" xfId="0" applyNumberFormat="1" applyFont="1" applyFill="1" applyBorder="1" applyAlignment="1">
      <alignment horizontal="center" vertical="center" shrinkToFit="1"/>
    </xf>
    <xf numFmtId="1" fontId="31" fillId="0" borderId="39" xfId="0" applyNumberFormat="1" applyFont="1" applyBorder="1" applyAlignment="1">
      <alignment horizontal="center" vertical="center" shrinkToFit="1"/>
    </xf>
    <xf numFmtId="1" fontId="31" fillId="39" borderId="39" xfId="0" applyNumberFormat="1" applyFont="1" applyFill="1" applyBorder="1" applyAlignment="1">
      <alignment horizontal="center" vertical="center" shrinkToFit="1"/>
    </xf>
    <xf numFmtId="43" fontId="31" fillId="39" borderId="40" xfId="1" applyFont="1" applyFill="1" applyBorder="1" applyAlignment="1">
      <alignment horizontal="right" vertical="center" shrinkToFit="1"/>
    </xf>
    <xf numFmtId="1" fontId="31" fillId="39" borderId="35" xfId="0" applyNumberFormat="1" applyFont="1" applyFill="1" applyBorder="1" applyAlignment="1">
      <alignment horizontal="center" vertical="center" shrinkToFit="1"/>
    </xf>
    <xf numFmtId="43" fontId="31" fillId="0" borderId="35" xfId="1" applyFont="1" applyBorder="1" applyAlignment="1">
      <alignment horizontal="center" vertical="center" shrinkToFit="1"/>
    </xf>
    <xf numFmtId="43" fontId="31" fillId="0" borderId="35" xfId="1" applyFont="1" applyFill="1" applyBorder="1" applyAlignment="1">
      <alignment horizontal="center" vertical="center" shrinkToFit="1"/>
    </xf>
    <xf numFmtId="0" fontId="57" fillId="0" borderId="39" xfId="0" applyFont="1" applyBorder="1" applyAlignment="1">
      <alignment vertical="top" wrapText="1"/>
    </xf>
    <xf numFmtId="43" fontId="31" fillId="39" borderId="35" xfId="1" applyFont="1" applyFill="1" applyBorder="1" applyAlignment="1">
      <alignment horizontal="center" vertical="center" shrinkToFit="1"/>
    </xf>
    <xf numFmtId="43" fontId="30" fillId="42" borderId="35" xfId="1" applyFont="1" applyFill="1" applyBorder="1" applyAlignment="1">
      <alignment horizontal="center" vertical="center" shrinkToFit="1"/>
    </xf>
    <xf numFmtId="43" fontId="30" fillId="36" borderId="35" xfId="1" applyFont="1" applyFill="1" applyBorder="1" applyAlignment="1">
      <alignment horizontal="center" vertical="center" shrinkToFit="1"/>
    </xf>
    <xf numFmtId="0" fontId="58" fillId="43" borderId="0" xfId="0" applyFont="1" applyFill="1" applyAlignment="1">
      <alignment horizontal="left" vertical="center" wrapText="1"/>
    </xf>
    <xf numFmtId="0" fontId="58" fillId="43" borderId="0" xfId="0" applyFont="1" applyFill="1" applyAlignment="1">
      <alignment horizontal="right" vertical="center" wrapText="1"/>
    </xf>
    <xf numFmtId="0" fontId="31" fillId="0" borderId="33" xfId="0" applyFont="1" applyBorder="1" applyAlignment="1">
      <alignment vertical="center" wrapText="1"/>
    </xf>
    <xf numFmtId="1" fontId="31" fillId="39" borderId="17" xfId="0" applyNumberFormat="1" applyFont="1" applyFill="1" applyBorder="1" applyAlignment="1">
      <alignment horizontal="center" vertical="center" shrinkToFit="1"/>
    </xf>
    <xf numFmtId="2" fontId="31" fillId="39" borderId="17" xfId="0" applyNumberFormat="1" applyFont="1" applyFill="1" applyBorder="1" applyAlignment="1">
      <alignment horizontal="right" vertical="center" shrinkToFit="1"/>
    </xf>
    <xf numFmtId="43" fontId="31" fillId="39" borderId="17" xfId="1" applyFont="1" applyFill="1" applyBorder="1" applyAlignment="1">
      <alignment horizontal="right" vertical="center" shrinkToFit="1"/>
    </xf>
    <xf numFmtId="43" fontId="31" fillId="39" borderId="17" xfId="1" applyFont="1" applyFill="1" applyBorder="1" applyAlignment="1">
      <alignment horizontal="center" vertical="center" shrinkToFit="1"/>
    </xf>
    <xf numFmtId="4" fontId="31" fillId="39" borderId="17" xfId="0" applyNumberFormat="1" applyFont="1" applyFill="1" applyBorder="1" applyAlignment="1">
      <alignment horizontal="right" vertical="center" shrinkToFit="1"/>
    </xf>
    <xf numFmtId="0" fontId="30" fillId="0" borderId="0" xfId="55" applyFont="1" applyAlignment="1">
      <alignment vertical="center"/>
    </xf>
    <xf numFmtId="2" fontId="31" fillId="39" borderId="23" xfId="0" applyNumberFormat="1" applyFont="1" applyFill="1" applyBorder="1" applyAlignment="1">
      <alignment horizontal="right" vertical="center" shrinkToFit="1"/>
    </xf>
    <xf numFmtId="4" fontId="31" fillId="39" borderId="23" xfId="0" applyNumberFormat="1" applyFont="1" applyFill="1" applyBorder="1" applyAlignment="1">
      <alignment horizontal="right" vertical="center" shrinkToFit="1"/>
    </xf>
    <xf numFmtId="43" fontId="30" fillId="42" borderId="17" xfId="1" applyFont="1" applyFill="1" applyBorder="1" applyAlignment="1">
      <alignment horizontal="right" vertical="center" shrinkToFit="1"/>
    </xf>
    <xf numFmtId="43" fontId="30" fillId="35" borderId="17" xfId="1" applyFont="1" applyFill="1" applyBorder="1" applyAlignment="1">
      <alignment horizontal="right" vertical="center" shrinkToFit="1"/>
    </xf>
    <xf numFmtId="1" fontId="30" fillId="42" borderId="17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49" fillId="2" borderId="19" xfId="58" applyFont="1" applyFill="1" applyBorder="1" applyAlignment="1">
      <alignment horizontal="center" vertical="center" wrapText="1"/>
    </xf>
    <xf numFmtId="0" fontId="49" fillId="2" borderId="20" xfId="58" applyFont="1" applyFill="1" applyBorder="1" applyAlignment="1">
      <alignment horizontal="center" vertical="center" wrapText="1"/>
    </xf>
    <xf numFmtId="0" fontId="49" fillId="2" borderId="21" xfId="58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3" fillId="36" borderId="1" xfId="0" applyFont="1" applyFill="1" applyBorder="1" applyAlignment="1">
      <alignment horizontal="center" vertical="center" wrapText="1"/>
    </xf>
    <xf numFmtId="0" fontId="23" fillId="36" borderId="30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center" vertic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0" fontId="23" fillId="38" borderId="1" xfId="0" applyFont="1" applyFill="1" applyBorder="1" applyAlignment="1">
      <alignment horizontal="center" vertical="center" wrapText="1"/>
    </xf>
    <xf numFmtId="0" fontId="23" fillId="38" borderId="2" xfId="0" applyFont="1" applyFill="1" applyBorder="1" applyAlignment="1">
      <alignment horizontal="center" vertical="center" wrapText="1"/>
    </xf>
    <xf numFmtId="0" fontId="23" fillId="40" borderId="0" xfId="0" applyFont="1" applyFill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35" fillId="0" borderId="22" xfId="0" applyFont="1" applyBorder="1" applyAlignment="1">
      <alignment horizontal="center"/>
    </xf>
    <xf numFmtId="0" fontId="30" fillId="42" borderId="24" xfId="0" applyFont="1" applyFill="1" applyBorder="1" applyAlignment="1">
      <alignment horizontal="center" vertical="center" wrapText="1"/>
    </xf>
    <xf numFmtId="0" fontId="30" fillId="42" borderId="25" xfId="0" applyFont="1" applyFill="1" applyBorder="1" applyAlignment="1">
      <alignment horizontal="center" vertical="center" wrapText="1"/>
    </xf>
    <xf numFmtId="0" fontId="30" fillId="42" borderId="36" xfId="0" applyFont="1" applyFill="1" applyBorder="1" applyAlignment="1">
      <alignment horizontal="center" vertical="center" wrapText="1"/>
    </xf>
    <xf numFmtId="0" fontId="30" fillId="42" borderId="37" xfId="0" applyFont="1" applyFill="1" applyBorder="1" applyAlignment="1">
      <alignment horizontal="center" vertical="center" wrapText="1"/>
    </xf>
    <xf numFmtId="0" fontId="30" fillId="42" borderId="38" xfId="0" applyFont="1" applyFill="1" applyBorder="1" applyAlignment="1">
      <alignment horizontal="center" vertical="center" wrapText="1"/>
    </xf>
    <xf numFmtId="0" fontId="30" fillId="42" borderId="17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</cellXfs>
  <cellStyles count="77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Heading" xfId="70"/>
    <cellStyle name="Heading1" xfId="71"/>
    <cellStyle name="Incorreto" xfId="11" builtinId="27" customBuiltin="1"/>
    <cellStyle name="Moeda" xfId="76" builtinId="4"/>
    <cellStyle name="Moeda 2" xfId="53"/>
    <cellStyle name="Moeda 2 2" xfId="68"/>
    <cellStyle name="Moeda 4" xfId="75"/>
    <cellStyle name="Neutra" xfId="12" builtinId="28" customBuiltin="1"/>
    <cellStyle name="Normal" xfId="0" builtinId="0"/>
    <cellStyle name="Normal 2" xfId="47"/>
    <cellStyle name="Normal 2 2" xfId="57"/>
    <cellStyle name="Normal 2 4" xfId="58"/>
    <cellStyle name="Normal 3" xfId="55"/>
    <cellStyle name="Normal 3 2" xfId="67"/>
    <cellStyle name="Normal 4" xfId="74"/>
    <cellStyle name="Nota" xfId="19" builtinId="10" customBuiltin="1"/>
    <cellStyle name="Porcentagem" xfId="52" builtinId="5"/>
    <cellStyle name="Porcentagem 2" xfId="54"/>
    <cellStyle name="Porcentagem 2 2" xfId="69"/>
    <cellStyle name="Result" xfId="72"/>
    <cellStyle name="Result2" xfId="73"/>
    <cellStyle name="Saída" xfId="14" builtinId="21" customBuiltin="1"/>
    <cellStyle name="Separador de milhares" xfId="1" builtinId="3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 2" xfId="2"/>
    <cellStyle name="Vírgula 2 2" xfId="56"/>
    <cellStyle name="Vírgula 3" xfId="4"/>
    <cellStyle name="Vírgula 3 2" xfId="50"/>
    <cellStyle name="Vírgula 3 2 2" xfId="65"/>
    <cellStyle name="Vírgula 3 3" xfId="61"/>
    <cellStyle name="Vírgula 4" xfId="3"/>
    <cellStyle name="Vírgula 4 2" xfId="49"/>
    <cellStyle name="Vírgula 4 2 2" xfId="64"/>
    <cellStyle name="Vírgula 4 3" xfId="60"/>
    <cellStyle name="Vírgula 5" xfId="46"/>
    <cellStyle name="Vírgula 5 2" xfId="51"/>
    <cellStyle name="Vírgula 5 2 2" xfId="66"/>
    <cellStyle name="Vírgula 5 3" xfId="62"/>
    <cellStyle name="Vírgula 6" xfId="48"/>
    <cellStyle name="Vírgula 6 2" xfId="63"/>
    <cellStyle name="Vírgula 7" xfId="59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95250</xdr:rowOff>
    </xdr:from>
    <xdr:to>
      <xdr:col>8</xdr:col>
      <xdr:colOff>514351</xdr:colOff>
      <xdr:row>20</xdr:row>
      <xdr:rowOff>123826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3794" t="46490" r="25174" b="27074"/>
        <a:stretch/>
      </xdr:blipFill>
      <xdr:spPr>
        <a:xfrm>
          <a:off x="609600" y="2000250"/>
          <a:ext cx="6638926" cy="1933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104775</xdr:rowOff>
    </xdr:to>
    <xdr:sp macro="" textlink="">
      <xdr:nvSpPr>
        <xdr:cNvPr id="32769" name="AutoShape 1" descr="blob:https://web.whatsapp.com/1ca7ee91-2a09-4fe1-afdd-75371c66dd51">
          <a:extLst>
            <a:ext uri="{FF2B5EF4-FFF2-40B4-BE49-F238E27FC236}">
              <a16:creationId xmlns:a16="http://schemas.microsoft.com/office/drawing/2014/main" xmlns="" id="{00000000-0008-0000-0900-00000180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307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304800</xdr:rowOff>
    </xdr:to>
    <xdr:sp macro="" textlink="">
      <xdr:nvSpPr>
        <xdr:cNvPr id="32771" name="AutoShape 3" descr="blob:https://web.whatsapp.com/1ca7ee91-2a09-4fe1-afdd-75371c66dd51">
          <a:extLst>
            <a:ext uri="{FF2B5EF4-FFF2-40B4-BE49-F238E27FC236}">
              <a16:creationId xmlns:a16="http://schemas.microsoft.com/office/drawing/2014/main" xmlns="" id="{00000000-0008-0000-0900-000003800000}"/>
            </a:ext>
          </a:extLst>
        </xdr:cNvPr>
        <xdr:cNvSpPr>
          <a:spLocks noChangeAspect="1" noChangeArrowheads="1"/>
        </xdr:cNvSpPr>
      </xdr:nvSpPr>
      <xdr:spPr bwMode="auto">
        <a:xfrm>
          <a:off x="8296275" y="367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2:I51"/>
  <sheetViews>
    <sheetView topLeftCell="A50" workbookViewId="0">
      <selection activeCell="C70" sqref="C70"/>
    </sheetView>
  </sheetViews>
  <sheetFormatPr defaultRowHeight="15"/>
  <cols>
    <col min="2" max="2" width="33.42578125" customWidth="1"/>
    <col min="3" max="3" width="12.7109375" customWidth="1"/>
  </cols>
  <sheetData>
    <row r="2" spans="2:9">
      <c r="B2" s="39" t="s">
        <v>185</v>
      </c>
      <c r="H2" t="s">
        <v>226</v>
      </c>
      <c r="I2">
        <v>5173</v>
      </c>
    </row>
    <row r="4" spans="2:9">
      <c r="B4" t="s">
        <v>202</v>
      </c>
      <c r="C4" s="42" t="s">
        <v>203</v>
      </c>
    </row>
    <row r="5" spans="2:9">
      <c r="B5" t="s">
        <v>204</v>
      </c>
      <c r="C5" s="43">
        <v>45327</v>
      </c>
    </row>
    <row r="6" spans="2:9">
      <c r="B6" t="s">
        <v>205</v>
      </c>
      <c r="C6" s="42" t="s">
        <v>206</v>
      </c>
    </row>
    <row r="7" spans="2:9">
      <c r="B7" t="s">
        <v>207</v>
      </c>
      <c r="C7" s="42" t="s">
        <v>208</v>
      </c>
    </row>
    <row r="8" spans="2:9">
      <c r="B8" t="s">
        <v>209</v>
      </c>
      <c r="C8" s="43">
        <v>45327</v>
      </c>
    </row>
    <row r="10" spans="2:9">
      <c r="B10" t="s">
        <v>186</v>
      </c>
      <c r="C10" t="s">
        <v>187</v>
      </c>
    </row>
    <row r="22" spans="2:9">
      <c r="B22" t="s">
        <v>189</v>
      </c>
      <c r="C22" t="s">
        <v>210</v>
      </c>
    </row>
    <row r="23" spans="2:9">
      <c r="B23" t="s">
        <v>188</v>
      </c>
      <c r="C23" s="41">
        <v>45323</v>
      </c>
    </row>
    <row r="25" spans="2:9" ht="42.6" customHeight="1">
      <c r="B25" t="s">
        <v>190</v>
      </c>
      <c r="C25" s="206" t="s">
        <v>191</v>
      </c>
      <c r="D25" s="206"/>
      <c r="E25" s="206"/>
      <c r="F25" s="206"/>
      <c r="G25" s="206"/>
      <c r="H25" s="206"/>
      <c r="I25" s="206"/>
    </row>
    <row r="27" spans="2:9">
      <c r="B27" s="39" t="s">
        <v>192</v>
      </c>
    </row>
    <row r="28" spans="2:9">
      <c r="D28" t="s">
        <v>201</v>
      </c>
    </row>
    <row r="29" spans="2:9">
      <c r="B29" t="s">
        <v>193</v>
      </c>
      <c r="C29" s="44">
        <v>1680</v>
      </c>
    </row>
    <row r="30" spans="2:9">
      <c r="B30" t="s">
        <v>194</v>
      </c>
      <c r="C30" s="44">
        <v>31.2</v>
      </c>
      <c r="D30" s="40">
        <v>0.05</v>
      </c>
    </row>
    <row r="31" spans="2:9">
      <c r="B31" t="s">
        <v>195</v>
      </c>
      <c r="C31" s="44">
        <v>114</v>
      </c>
      <c r="D31" s="40">
        <v>0.06</v>
      </c>
    </row>
    <row r="32" spans="2:9">
      <c r="B32" t="s">
        <v>196</v>
      </c>
      <c r="C32" s="44">
        <v>136.88999999999999</v>
      </c>
      <c r="D32" s="40">
        <v>0.05</v>
      </c>
    </row>
    <row r="33" spans="2:4">
      <c r="B33" t="s">
        <v>197</v>
      </c>
      <c r="C33" s="44">
        <v>12</v>
      </c>
      <c r="D33" s="40">
        <v>0.5</v>
      </c>
    </row>
    <row r="34" spans="2:4">
      <c r="C34" s="42"/>
    </row>
    <row r="35" spans="2:4">
      <c r="B35" t="s">
        <v>211</v>
      </c>
      <c r="C35" s="44">
        <v>1680</v>
      </c>
    </row>
    <row r="36" spans="2:4">
      <c r="B36" t="s">
        <v>212</v>
      </c>
      <c r="C36" s="44">
        <v>2352.02</v>
      </c>
    </row>
    <row r="37" spans="2:4">
      <c r="B37" t="s">
        <v>213</v>
      </c>
      <c r="C37" s="44">
        <v>3360.05</v>
      </c>
    </row>
    <row r="38" spans="2:4">
      <c r="B38" t="s">
        <v>214</v>
      </c>
      <c r="C38" s="44">
        <v>235</v>
      </c>
    </row>
    <row r="39" spans="2:4">
      <c r="B39" t="s">
        <v>198</v>
      </c>
      <c r="C39" s="42"/>
    </row>
    <row r="40" spans="2:4">
      <c r="B40" t="s">
        <v>199</v>
      </c>
      <c r="C40" s="42"/>
    </row>
    <row r="41" spans="2:4">
      <c r="B41" t="s">
        <v>215</v>
      </c>
      <c r="C41" s="44">
        <v>2856.05</v>
      </c>
    </row>
    <row r="42" spans="2:4">
      <c r="B42" t="s">
        <v>216</v>
      </c>
      <c r="C42" s="44">
        <v>2352.02</v>
      </c>
    </row>
    <row r="43" spans="2:4">
      <c r="B43" t="s">
        <v>217</v>
      </c>
      <c r="C43" s="44">
        <v>2352.02</v>
      </c>
    </row>
    <row r="44" spans="2:4">
      <c r="B44" t="s">
        <v>218</v>
      </c>
      <c r="C44" s="44">
        <v>2246.27</v>
      </c>
    </row>
    <row r="46" spans="2:4">
      <c r="B46" t="s">
        <v>219</v>
      </c>
      <c r="C46" t="s">
        <v>220</v>
      </c>
    </row>
    <row r="47" spans="2:4">
      <c r="B47" t="s">
        <v>221</v>
      </c>
      <c r="C47" t="s">
        <v>222</v>
      </c>
    </row>
    <row r="48" spans="2:4">
      <c r="B48" t="s">
        <v>223</v>
      </c>
      <c r="C48" t="s">
        <v>222</v>
      </c>
    </row>
    <row r="49" spans="2:3">
      <c r="B49" t="s">
        <v>224</v>
      </c>
      <c r="C49" t="s">
        <v>220</v>
      </c>
    </row>
    <row r="51" spans="2:3">
      <c r="B51" t="s">
        <v>200</v>
      </c>
    </row>
  </sheetData>
  <mergeCells count="1">
    <mergeCell ref="C25:I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</sheetPr>
  <dimension ref="A2:K31"/>
  <sheetViews>
    <sheetView showGridLines="0" view="pageBreakPreview" zoomScaleSheetLayoutView="100" workbookViewId="0">
      <selection activeCell="M12" sqref="M12"/>
    </sheetView>
  </sheetViews>
  <sheetFormatPr defaultColWidth="9.140625" defaultRowHeight="12.75"/>
  <cols>
    <col min="1" max="1" width="5.85546875" style="1" customWidth="1"/>
    <col min="2" max="2" width="42.140625" style="1" customWidth="1"/>
    <col min="3" max="3" width="10.28515625" style="1" customWidth="1"/>
    <col min="4" max="4" width="10.5703125" style="1" customWidth="1"/>
    <col min="5" max="5" width="12.7109375" style="1" customWidth="1"/>
    <col min="6" max="6" width="10" style="1" customWidth="1"/>
    <col min="7" max="7" width="11.5703125" style="1" customWidth="1"/>
    <col min="8" max="8" width="12.140625" style="1" customWidth="1"/>
    <col min="9" max="10" width="9.140625" style="1"/>
    <col min="11" max="11" width="9.85546875" style="1" bestFit="1" customWidth="1"/>
    <col min="12" max="16384" width="9.140625" style="1"/>
  </cols>
  <sheetData>
    <row r="2" spans="1:11" ht="20.25" customHeight="1">
      <c r="A2" s="235" t="s">
        <v>133</v>
      </c>
      <c r="B2" s="236"/>
      <c r="C2" s="236"/>
      <c r="D2" s="236"/>
      <c r="E2" s="236"/>
      <c r="F2" s="236"/>
      <c r="G2" s="236"/>
      <c r="H2" s="236"/>
    </row>
    <row r="3" spans="1:11" s="22" customFormat="1" ht="51.75" customHeight="1">
      <c r="A3" s="20" t="s">
        <v>101</v>
      </c>
      <c r="B3" s="20" t="s">
        <v>108</v>
      </c>
      <c r="C3" s="161" t="s">
        <v>153</v>
      </c>
      <c r="D3" s="21" t="s">
        <v>109</v>
      </c>
      <c r="E3" s="21" t="s">
        <v>110</v>
      </c>
      <c r="F3" s="20" t="s">
        <v>134</v>
      </c>
      <c r="G3" s="21" t="s">
        <v>111</v>
      </c>
      <c r="H3" s="21" t="s">
        <v>132</v>
      </c>
    </row>
    <row r="4" spans="1:11" ht="31.5">
      <c r="A4" s="162">
        <v>1</v>
      </c>
      <c r="B4" s="6" t="s">
        <v>112</v>
      </c>
      <c r="C4" s="163">
        <v>2</v>
      </c>
      <c r="D4" s="164">
        <v>18.55</v>
      </c>
      <c r="E4" s="165">
        <f>C4*D4</f>
        <v>37.1</v>
      </c>
      <c r="F4" s="163">
        <v>12</v>
      </c>
      <c r="G4" s="166">
        <f>E4/F4</f>
        <v>3.0916666666666668</v>
      </c>
      <c r="H4" s="167">
        <f t="shared" ref="H4:H15" si="0">G4/2</f>
        <v>1.5458333333333334</v>
      </c>
    </row>
    <row r="5" spans="1:11" ht="31.5">
      <c r="A5" s="162">
        <v>2</v>
      </c>
      <c r="B5" s="6" t="s">
        <v>118</v>
      </c>
      <c r="C5" s="163">
        <v>2</v>
      </c>
      <c r="D5" s="164">
        <v>250</v>
      </c>
      <c r="E5" s="165">
        <f t="shared" ref="E5:E22" si="1">C5*D5</f>
        <v>500</v>
      </c>
      <c r="F5" s="163">
        <v>12</v>
      </c>
      <c r="G5" s="166">
        <f>E5/F5</f>
        <v>41.666666666666664</v>
      </c>
      <c r="H5" s="167">
        <f t="shared" si="0"/>
        <v>20.833333333333332</v>
      </c>
    </row>
    <row r="6" spans="1:11" ht="15.75">
      <c r="A6" s="162">
        <v>3</v>
      </c>
      <c r="B6" s="6" t="s">
        <v>116</v>
      </c>
      <c r="C6" s="163">
        <v>1</v>
      </c>
      <c r="D6" s="164">
        <v>46.54</v>
      </c>
      <c r="E6" s="165">
        <f t="shared" si="1"/>
        <v>46.54</v>
      </c>
      <c r="F6" s="163">
        <v>12</v>
      </c>
      <c r="G6" s="166">
        <f t="shared" ref="G6:G23" si="2">E6/F6</f>
        <v>3.8783333333333334</v>
      </c>
      <c r="H6" s="167">
        <f t="shared" si="0"/>
        <v>1.9391666666666667</v>
      </c>
    </row>
    <row r="7" spans="1:11" ht="15.75">
      <c r="A7" s="162">
        <v>4</v>
      </c>
      <c r="B7" s="6" t="s">
        <v>117</v>
      </c>
      <c r="C7" s="163">
        <v>1</v>
      </c>
      <c r="D7" s="164">
        <v>60</v>
      </c>
      <c r="E7" s="165">
        <f t="shared" si="1"/>
        <v>60</v>
      </c>
      <c r="F7" s="163">
        <v>12</v>
      </c>
      <c r="G7" s="166">
        <f t="shared" ref="G7:G12" si="3">E7/F7</f>
        <v>5</v>
      </c>
      <c r="H7" s="167">
        <f t="shared" si="0"/>
        <v>2.5</v>
      </c>
    </row>
    <row r="8" spans="1:11" ht="15.75">
      <c r="A8" s="162">
        <v>5</v>
      </c>
      <c r="B8" s="6" t="s">
        <v>115</v>
      </c>
      <c r="C8" s="163">
        <v>1</v>
      </c>
      <c r="D8" s="164">
        <v>38.29</v>
      </c>
      <c r="E8" s="165">
        <f t="shared" si="1"/>
        <v>38.29</v>
      </c>
      <c r="F8" s="163">
        <v>12</v>
      </c>
      <c r="G8" s="166">
        <f t="shared" si="3"/>
        <v>3.1908333333333334</v>
      </c>
      <c r="H8" s="167">
        <f t="shared" si="0"/>
        <v>1.5954166666666667</v>
      </c>
    </row>
    <row r="9" spans="1:11" ht="31.5">
      <c r="A9" s="162">
        <v>6</v>
      </c>
      <c r="B9" s="6" t="s">
        <v>119</v>
      </c>
      <c r="C9" s="163">
        <v>2</v>
      </c>
      <c r="D9" s="164">
        <v>44.91</v>
      </c>
      <c r="E9" s="165">
        <f t="shared" si="1"/>
        <v>89.82</v>
      </c>
      <c r="F9" s="163">
        <v>24</v>
      </c>
      <c r="G9" s="166">
        <f t="shared" si="3"/>
        <v>3.7424999999999997</v>
      </c>
      <c r="H9" s="167">
        <f t="shared" si="0"/>
        <v>1.8712499999999999</v>
      </c>
    </row>
    <row r="10" spans="1:11" ht="15.75">
      <c r="A10" s="162">
        <v>7</v>
      </c>
      <c r="B10" s="6" t="s">
        <v>124</v>
      </c>
      <c r="C10" s="163">
        <v>12</v>
      </c>
      <c r="D10" s="164">
        <v>12.17</v>
      </c>
      <c r="E10" s="165">
        <f t="shared" si="1"/>
        <v>146.04</v>
      </c>
      <c r="F10" s="163">
        <v>12</v>
      </c>
      <c r="G10" s="166">
        <f t="shared" si="3"/>
        <v>12.17</v>
      </c>
      <c r="H10" s="167">
        <f t="shared" si="0"/>
        <v>6.085</v>
      </c>
    </row>
    <row r="11" spans="1:11" ht="15.75">
      <c r="A11" s="162">
        <v>8</v>
      </c>
      <c r="B11" s="6" t="s">
        <v>121</v>
      </c>
      <c r="C11" s="163">
        <v>5</v>
      </c>
      <c r="D11" s="164">
        <v>9.0500000000000007</v>
      </c>
      <c r="E11" s="165">
        <f t="shared" si="1"/>
        <v>45.25</v>
      </c>
      <c r="F11" s="163">
        <v>12</v>
      </c>
      <c r="G11" s="166">
        <f t="shared" si="3"/>
        <v>3.7708333333333335</v>
      </c>
      <c r="H11" s="167">
        <f t="shared" si="0"/>
        <v>1.8854166666666667</v>
      </c>
      <c r="K11" s="55"/>
    </row>
    <row r="12" spans="1:11" ht="15.75">
      <c r="A12" s="162">
        <v>9</v>
      </c>
      <c r="B12" s="6" t="s">
        <v>120</v>
      </c>
      <c r="C12" s="163">
        <v>1</v>
      </c>
      <c r="D12" s="164">
        <v>1473.32</v>
      </c>
      <c r="E12" s="165">
        <f t="shared" si="1"/>
        <v>1473.32</v>
      </c>
      <c r="F12" s="163">
        <v>60</v>
      </c>
      <c r="G12" s="166">
        <f t="shared" si="3"/>
        <v>24.555333333333333</v>
      </c>
      <c r="H12" s="167">
        <f t="shared" si="0"/>
        <v>12.277666666666667</v>
      </c>
    </row>
    <row r="13" spans="1:11" ht="15.75">
      <c r="A13" s="162">
        <v>10</v>
      </c>
      <c r="B13" s="6" t="s">
        <v>114</v>
      </c>
      <c r="C13" s="163">
        <v>1</v>
      </c>
      <c r="D13" s="164">
        <v>18</v>
      </c>
      <c r="E13" s="165">
        <f t="shared" si="1"/>
        <v>18</v>
      </c>
      <c r="F13" s="163">
        <v>12</v>
      </c>
      <c r="G13" s="166">
        <f t="shared" si="2"/>
        <v>1.5</v>
      </c>
      <c r="H13" s="167">
        <f t="shared" si="0"/>
        <v>0.75</v>
      </c>
    </row>
    <row r="14" spans="1:11" ht="31.5">
      <c r="A14" s="162">
        <v>11</v>
      </c>
      <c r="B14" s="6" t="s">
        <v>122</v>
      </c>
      <c r="C14" s="163">
        <v>1</v>
      </c>
      <c r="D14" s="164">
        <v>390</v>
      </c>
      <c r="E14" s="165">
        <f t="shared" si="1"/>
        <v>390</v>
      </c>
      <c r="F14" s="163">
        <v>60</v>
      </c>
      <c r="G14" s="166">
        <f t="shared" si="2"/>
        <v>6.5</v>
      </c>
      <c r="H14" s="167">
        <f>G14/2</f>
        <v>3.25</v>
      </c>
      <c r="J14" s="55"/>
    </row>
    <row r="15" spans="1:11" ht="15.75">
      <c r="A15" s="162">
        <v>12</v>
      </c>
      <c r="B15" s="6" t="s">
        <v>123</v>
      </c>
      <c r="C15" s="163">
        <v>1</v>
      </c>
      <c r="D15" s="164">
        <v>3533.04</v>
      </c>
      <c r="E15" s="165">
        <f t="shared" si="1"/>
        <v>3533.04</v>
      </c>
      <c r="F15" s="163">
        <v>60</v>
      </c>
      <c r="G15" s="166">
        <f t="shared" si="2"/>
        <v>58.884</v>
      </c>
      <c r="H15" s="167">
        <f t="shared" si="0"/>
        <v>29.442</v>
      </c>
      <c r="J15" s="47"/>
    </row>
    <row r="16" spans="1:11" ht="15.75">
      <c r="A16" s="168">
        <v>13</v>
      </c>
      <c r="B16" s="10" t="s">
        <v>113</v>
      </c>
      <c r="C16" s="169">
        <v>1</v>
      </c>
      <c r="D16" s="170">
        <v>26.45</v>
      </c>
      <c r="E16" s="171">
        <f t="shared" si="1"/>
        <v>26.45</v>
      </c>
      <c r="F16" s="169">
        <v>60</v>
      </c>
      <c r="G16" s="172">
        <f t="shared" si="2"/>
        <v>0.4408333333333333</v>
      </c>
      <c r="H16" s="173">
        <f>G16/2</f>
        <v>0.22041666666666665</v>
      </c>
    </row>
    <row r="17" spans="1:9" ht="49.5">
      <c r="A17" s="20" t="s">
        <v>101</v>
      </c>
      <c r="B17" s="20" t="s">
        <v>108</v>
      </c>
      <c r="C17" s="20" t="s">
        <v>88</v>
      </c>
      <c r="D17" s="21" t="s">
        <v>109</v>
      </c>
      <c r="E17" s="21" t="s">
        <v>110</v>
      </c>
      <c r="F17" s="20" t="s">
        <v>134</v>
      </c>
      <c r="G17" s="21" t="s">
        <v>244</v>
      </c>
      <c r="H17" s="21" t="s">
        <v>132</v>
      </c>
    </row>
    <row r="18" spans="1:9" ht="48">
      <c r="A18" s="174">
        <v>14</v>
      </c>
      <c r="B18" s="175" t="s">
        <v>181</v>
      </c>
      <c r="C18" s="176">
        <v>1</v>
      </c>
      <c r="D18" s="177">
        <v>212000</v>
      </c>
      <c r="E18" s="178">
        <f t="shared" si="1"/>
        <v>212000</v>
      </c>
      <c r="F18" s="176">
        <v>60</v>
      </c>
      <c r="G18" s="179">
        <f>E18/F18</f>
        <v>3533.3333333333335</v>
      </c>
      <c r="H18" s="180">
        <f>(G18)/(Principal!F16*2)</f>
        <v>15.773809523809524</v>
      </c>
      <c r="I18" s="1" t="s">
        <v>240</v>
      </c>
    </row>
    <row r="19" spans="1:9" ht="24">
      <c r="A19" s="174">
        <v>15</v>
      </c>
      <c r="B19" s="175" t="s">
        <v>183</v>
      </c>
      <c r="C19" s="176">
        <f>(300/13.2)*360</f>
        <v>8181.8181818181829</v>
      </c>
      <c r="D19" s="177">
        <v>6.51</v>
      </c>
      <c r="E19" s="178">
        <f>C19*D19</f>
        <v>53263.636363636368</v>
      </c>
      <c r="F19" s="176">
        <v>12</v>
      </c>
      <c r="G19" s="179">
        <f>E19/F19</f>
        <v>4438.636363636364</v>
      </c>
      <c r="H19" s="180">
        <f>(G19)/(Principal!F16*2)</f>
        <v>19.81534090909091</v>
      </c>
      <c r="I19" s="1" t="s">
        <v>242</v>
      </c>
    </row>
    <row r="20" spans="1:9" ht="48">
      <c r="A20" s="174">
        <v>16</v>
      </c>
      <c r="B20" s="175" t="s">
        <v>182</v>
      </c>
      <c r="C20" s="176">
        <v>1</v>
      </c>
      <c r="D20" s="177">
        <v>212000</v>
      </c>
      <c r="E20" s="178">
        <f t="shared" ref="E20" si="4">C20*D20</f>
        <v>212000</v>
      </c>
      <c r="F20" s="176">
        <v>60</v>
      </c>
      <c r="G20" s="179">
        <f>E20/F20</f>
        <v>3533.3333333333335</v>
      </c>
      <c r="H20" s="180">
        <f>(G20)/(Principal!F16*2)</f>
        <v>15.773809523809524</v>
      </c>
      <c r="I20" s="1" t="s">
        <v>240</v>
      </c>
    </row>
    <row r="21" spans="1:9" ht="24">
      <c r="A21" s="174">
        <v>17</v>
      </c>
      <c r="B21" s="175" t="s">
        <v>184</v>
      </c>
      <c r="C21" s="181">
        <f>(150/13.2)*360</f>
        <v>4090.9090909090914</v>
      </c>
      <c r="D21" s="177">
        <v>6.51</v>
      </c>
      <c r="E21" s="178">
        <f>C21*D21</f>
        <v>26631.818181818184</v>
      </c>
      <c r="F21" s="176">
        <v>12</v>
      </c>
      <c r="G21" s="179">
        <f>E21/F21</f>
        <v>2219.318181818182</v>
      </c>
      <c r="H21" s="180">
        <f>(G21)/(Principal!F16*2)</f>
        <v>9.907670454545455</v>
      </c>
      <c r="I21" s="1" t="s">
        <v>243</v>
      </c>
    </row>
    <row r="22" spans="1:9" ht="36">
      <c r="A22" s="174">
        <v>18</v>
      </c>
      <c r="B22" s="175" t="s">
        <v>174</v>
      </c>
      <c r="C22" s="176">
        <v>2</v>
      </c>
      <c r="D22" s="177">
        <v>11990</v>
      </c>
      <c r="E22" s="178">
        <f t="shared" si="1"/>
        <v>23980</v>
      </c>
      <c r="F22" s="176">
        <v>60</v>
      </c>
      <c r="G22" s="179">
        <f>E22/F22</f>
        <v>399.66666666666669</v>
      </c>
      <c r="H22" s="180">
        <f>(G22)/(Principal!F16*2)</f>
        <v>1.7842261904761905</v>
      </c>
      <c r="I22" s="1" t="s">
        <v>241</v>
      </c>
    </row>
    <row r="23" spans="1:9" ht="24">
      <c r="A23" s="174">
        <v>19</v>
      </c>
      <c r="B23" s="175" t="s">
        <v>180</v>
      </c>
      <c r="C23" s="176">
        <f>(150/26.5)*360</f>
        <v>2037.7358490566037</v>
      </c>
      <c r="D23" s="177">
        <v>6.97</v>
      </c>
      <c r="E23" s="178">
        <f>C23*D23</f>
        <v>14203.018867924528</v>
      </c>
      <c r="F23" s="176">
        <v>12</v>
      </c>
      <c r="G23" s="179">
        <f t="shared" si="2"/>
        <v>1183.5849056603772</v>
      </c>
      <c r="H23" s="180">
        <f>(G23)/(Principal!F16*2)</f>
        <v>5.2838611859838265</v>
      </c>
    </row>
    <row r="24" spans="1:9" ht="15.75">
      <c r="A24" s="182"/>
      <c r="B24" s="48"/>
      <c r="C24" s="183"/>
      <c r="D24" s="184"/>
      <c r="E24" s="178"/>
      <c r="F24" s="185"/>
      <c r="G24" s="186"/>
      <c r="H24" s="187"/>
    </row>
    <row r="25" spans="1:9" ht="15.75">
      <c r="A25" s="182"/>
      <c r="B25" s="48"/>
      <c r="C25" s="183"/>
      <c r="D25" s="184"/>
      <c r="E25" s="178"/>
      <c r="F25" s="185"/>
      <c r="G25" s="186"/>
      <c r="H25" s="187"/>
    </row>
    <row r="26" spans="1:9" ht="15.75">
      <c r="A26" s="182"/>
      <c r="B26" s="48"/>
      <c r="C26" s="183"/>
      <c r="D26" s="184"/>
      <c r="E26" s="178"/>
      <c r="F26" s="185"/>
      <c r="G26" s="186"/>
      <c r="H26" s="187"/>
    </row>
    <row r="27" spans="1:9" ht="15.75">
      <c r="A27" s="182"/>
      <c r="B27" s="6"/>
      <c r="C27" s="183"/>
      <c r="D27" s="184"/>
      <c r="E27" s="178"/>
      <c r="F27" s="185"/>
      <c r="G27" s="186"/>
      <c r="H27" s="187"/>
    </row>
    <row r="28" spans="1:9" ht="15.75">
      <c r="A28" s="182"/>
      <c r="B28" s="6"/>
      <c r="C28" s="183"/>
      <c r="D28" s="184"/>
      <c r="E28" s="178"/>
      <c r="F28" s="185"/>
      <c r="G28" s="186"/>
      <c r="H28" s="187"/>
    </row>
    <row r="29" spans="1:9" ht="15.75">
      <c r="A29" s="182"/>
      <c r="B29" s="188"/>
      <c r="C29" s="183"/>
      <c r="D29" s="184"/>
      <c r="E29" s="189"/>
      <c r="F29" s="185"/>
      <c r="G29" s="186"/>
      <c r="H29" s="187"/>
    </row>
    <row r="30" spans="1:9" ht="15.75">
      <c r="A30" s="237" t="s">
        <v>175</v>
      </c>
      <c r="B30" s="238"/>
      <c r="C30" s="238"/>
      <c r="D30" s="239"/>
      <c r="E30" s="190">
        <f>SUM(E4:E22)</f>
        <v>534279.30454545456</v>
      </c>
      <c r="F30" s="36"/>
      <c r="G30" s="190">
        <f>SUM(G4:G23)</f>
        <v>15476.263784448256</v>
      </c>
      <c r="H30" s="191">
        <f>SUM(H4:H23)</f>
        <v>152.53421778771545</v>
      </c>
    </row>
    <row r="31" spans="1:9">
      <c r="B31" s="192"/>
      <c r="C31" s="193"/>
    </row>
  </sheetData>
  <sortState ref="B5:K16">
    <sortCondition ref="B4:B16"/>
  </sortState>
  <mergeCells count="2">
    <mergeCell ref="A2:H2"/>
    <mergeCell ref="A30:D3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FF"/>
  </sheetPr>
  <dimension ref="A2:L31"/>
  <sheetViews>
    <sheetView showGridLines="0" view="pageBreakPreview" zoomScaleSheetLayoutView="100" workbookViewId="0">
      <selection activeCell="N13" sqref="N13"/>
    </sheetView>
  </sheetViews>
  <sheetFormatPr defaultColWidth="9.140625" defaultRowHeight="15.75"/>
  <cols>
    <col min="1" max="1" width="5.7109375" style="5" customWidth="1"/>
    <col min="2" max="2" width="37.140625" style="5" customWidth="1"/>
    <col min="3" max="3" width="13.85546875" style="8" bestFit="1" customWidth="1"/>
    <col min="4" max="4" width="10.7109375" style="5" customWidth="1"/>
    <col min="5" max="5" width="9.5703125" style="5" customWidth="1"/>
    <col min="6" max="6" width="9.28515625" style="5" customWidth="1"/>
    <col min="7" max="7" width="12.5703125" style="9" bestFit="1" customWidth="1"/>
    <col min="8" max="8" width="9.140625" style="5" customWidth="1"/>
    <col min="9" max="9" width="10.7109375" style="5" customWidth="1"/>
    <col min="10" max="10" width="1.5703125" style="5" customWidth="1"/>
    <col min="11" max="11" width="9.140625" style="5"/>
    <col min="12" max="12" width="18.28515625" style="5" customWidth="1"/>
    <col min="13" max="13" width="20.85546875" style="5" customWidth="1"/>
    <col min="14" max="14" width="42" style="5" customWidth="1"/>
    <col min="15" max="16384" width="9.140625" style="5"/>
  </cols>
  <sheetData>
    <row r="2" spans="1:12" ht="25.5" customHeight="1">
      <c r="A2" s="241" t="s">
        <v>99</v>
      </c>
      <c r="B2" s="241"/>
      <c r="C2" s="241"/>
      <c r="D2" s="241"/>
      <c r="E2" s="241"/>
      <c r="F2" s="241"/>
      <c r="G2" s="241"/>
      <c r="H2" s="241"/>
      <c r="I2" s="241"/>
    </row>
    <row r="3" spans="1:12" ht="8.25" customHeight="1">
      <c r="A3" s="194"/>
      <c r="B3" s="194"/>
      <c r="C3" s="194"/>
      <c r="D3" s="194"/>
      <c r="E3" s="194"/>
      <c r="F3" s="194"/>
      <c r="G3" s="194"/>
      <c r="H3" s="194"/>
      <c r="I3" s="194"/>
    </row>
    <row r="4" spans="1:12" ht="17.25" customHeight="1">
      <c r="A4" s="240" t="s">
        <v>100</v>
      </c>
      <c r="B4" s="240"/>
      <c r="C4" s="240"/>
      <c r="D4" s="240"/>
      <c r="E4" s="240"/>
      <c r="F4" s="240"/>
      <c r="G4" s="240"/>
      <c r="H4" s="240"/>
      <c r="I4" s="240"/>
    </row>
    <row r="5" spans="1:12" s="8" customFormat="1" ht="47.25">
      <c r="A5" s="15" t="s">
        <v>101</v>
      </c>
      <c r="B5" s="15" t="s">
        <v>102</v>
      </c>
      <c r="C5" s="15" t="s">
        <v>88</v>
      </c>
      <c r="D5" s="15" t="s">
        <v>103</v>
      </c>
      <c r="E5" s="15" t="s">
        <v>89</v>
      </c>
      <c r="F5" s="15" t="s">
        <v>90</v>
      </c>
      <c r="G5" s="16" t="s">
        <v>91</v>
      </c>
      <c r="H5" s="15" t="s">
        <v>135</v>
      </c>
      <c r="I5" s="15" t="s">
        <v>136</v>
      </c>
    </row>
    <row r="6" spans="1:12" ht="31.5">
      <c r="A6" s="195">
        <v>1</v>
      </c>
      <c r="B6" s="19" t="s">
        <v>96</v>
      </c>
      <c r="C6" s="195">
        <v>1</v>
      </c>
      <c r="D6" s="196">
        <v>13</v>
      </c>
      <c r="E6" s="197">
        <f t="shared" ref="E6:E17" si="0">C6*D6</f>
        <v>13</v>
      </c>
      <c r="F6" s="198">
        <f>E6/12</f>
        <v>1.0833333333333333</v>
      </c>
      <c r="G6" s="195">
        <f>Principal!F16*2</f>
        <v>224</v>
      </c>
      <c r="H6" s="199">
        <f>F6*G6</f>
        <v>242.66666666666666</v>
      </c>
      <c r="I6" s="199">
        <f>H6*12</f>
        <v>2912</v>
      </c>
    </row>
    <row r="7" spans="1:12" ht="47.25">
      <c r="A7" s="195">
        <v>2</v>
      </c>
      <c r="B7" s="19" t="s">
        <v>98</v>
      </c>
      <c r="C7" s="195">
        <v>2</v>
      </c>
      <c r="D7" s="196">
        <v>13.41</v>
      </c>
      <c r="E7" s="197">
        <f t="shared" si="0"/>
        <v>26.82</v>
      </c>
      <c r="F7" s="198">
        <f t="shared" ref="F7:F16" si="1">E7/12</f>
        <v>2.2349999999999999</v>
      </c>
      <c r="G7" s="195">
        <f>G6</f>
        <v>224</v>
      </c>
      <c r="H7" s="199">
        <f>F7*G7</f>
        <v>500.64</v>
      </c>
      <c r="I7" s="199">
        <f t="shared" ref="I7:I14" si="2">H7*12</f>
        <v>6007.68</v>
      </c>
    </row>
    <row r="8" spans="1:12" ht="47.25">
      <c r="A8" s="195">
        <v>3</v>
      </c>
      <c r="B8" s="19" t="s">
        <v>94</v>
      </c>
      <c r="C8" s="195">
        <v>4</v>
      </c>
      <c r="D8" s="196">
        <v>54.08</v>
      </c>
      <c r="E8" s="197">
        <f t="shared" si="0"/>
        <v>216.32</v>
      </c>
      <c r="F8" s="198">
        <f t="shared" si="1"/>
        <v>18.026666666666667</v>
      </c>
      <c r="G8" s="195">
        <f>G6</f>
        <v>224</v>
      </c>
      <c r="H8" s="199">
        <f>F8*G8</f>
        <v>4037.9733333333334</v>
      </c>
      <c r="I8" s="199">
        <f t="shared" si="2"/>
        <v>48455.68</v>
      </c>
      <c r="K8" s="200"/>
    </row>
    <row r="9" spans="1:12" ht="63">
      <c r="A9" s="195">
        <v>4</v>
      </c>
      <c r="B9" s="19" t="s">
        <v>93</v>
      </c>
      <c r="C9" s="195">
        <v>4</v>
      </c>
      <c r="D9" s="196">
        <v>46</v>
      </c>
      <c r="E9" s="197">
        <f t="shared" si="0"/>
        <v>184</v>
      </c>
      <c r="F9" s="198">
        <f t="shared" si="1"/>
        <v>15.333333333333334</v>
      </c>
      <c r="G9" s="195">
        <f>G6</f>
        <v>224</v>
      </c>
      <c r="H9" s="199">
        <f>F9*G9</f>
        <v>3434.666666666667</v>
      </c>
      <c r="I9" s="199">
        <f t="shared" si="2"/>
        <v>41216</v>
      </c>
    </row>
    <row r="10" spans="1:12" ht="47.25">
      <c r="A10" s="195">
        <v>5</v>
      </c>
      <c r="B10" s="19" t="s">
        <v>92</v>
      </c>
      <c r="C10" s="195">
        <v>2</v>
      </c>
      <c r="D10" s="196">
        <v>18.899999999999999</v>
      </c>
      <c r="E10" s="197">
        <f t="shared" si="0"/>
        <v>37.799999999999997</v>
      </c>
      <c r="F10" s="198">
        <f t="shared" si="1"/>
        <v>3.15</v>
      </c>
      <c r="G10" s="195">
        <f>G6</f>
        <v>224</v>
      </c>
      <c r="H10" s="199">
        <f t="shared" ref="H10:H14" si="3">F10*G10</f>
        <v>705.6</v>
      </c>
      <c r="I10" s="199">
        <f t="shared" si="2"/>
        <v>8467.2000000000007</v>
      </c>
    </row>
    <row r="11" spans="1:12" ht="47.25">
      <c r="A11" s="195">
        <v>6</v>
      </c>
      <c r="B11" s="19" t="s">
        <v>95</v>
      </c>
      <c r="C11" s="195">
        <v>1</v>
      </c>
      <c r="D11" s="196">
        <v>2.13</v>
      </c>
      <c r="E11" s="197">
        <f t="shared" si="0"/>
        <v>2.13</v>
      </c>
      <c r="F11" s="198">
        <f t="shared" si="1"/>
        <v>0.17749999999999999</v>
      </c>
      <c r="G11" s="195">
        <f>G6</f>
        <v>224</v>
      </c>
      <c r="H11" s="199">
        <f t="shared" si="3"/>
        <v>39.76</v>
      </c>
      <c r="I11" s="199">
        <f t="shared" si="2"/>
        <v>477.12</v>
      </c>
      <c r="L11" s="7"/>
    </row>
    <row r="12" spans="1:12">
      <c r="A12" s="195">
        <v>7</v>
      </c>
      <c r="B12" s="19" t="s">
        <v>105</v>
      </c>
      <c r="C12" s="195">
        <v>1</v>
      </c>
      <c r="D12" s="196">
        <v>13.81</v>
      </c>
      <c r="E12" s="197">
        <f t="shared" si="0"/>
        <v>13.81</v>
      </c>
      <c r="F12" s="198">
        <f t="shared" si="1"/>
        <v>1.1508333333333334</v>
      </c>
      <c r="G12" s="195">
        <f>G6</f>
        <v>224</v>
      </c>
      <c r="H12" s="199">
        <f t="shared" si="3"/>
        <v>257.78666666666669</v>
      </c>
      <c r="I12" s="199">
        <f t="shared" si="2"/>
        <v>3093.4400000000005</v>
      </c>
      <c r="L12" s="7"/>
    </row>
    <row r="13" spans="1:12" ht="108.75" customHeight="1">
      <c r="A13" s="195">
        <v>8</v>
      </c>
      <c r="B13" s="19" t="s">
        <v>107</v>
      </c>
      <c r="C13" s="195">
        <v>2</v>
      </c>
      <c r="D13" s="196">
        <v>49.85</v>
      </c>
      <c r="E13" s="197">
        <f t="shared" si="0"/>
        <v>99.7</v>
      </c>
      <c r="F13" s="198">
        <f t="shared" si="1"/>
        <v>8.3083333333333336</v>
      </c>
      <c r="G13" s="195">
        <f>G6</f>
        <v>224</v>
      </c>
      <c r="H13" s="199">
        <f t="shared" si="3"/>
        <v>1861.0666666666666</v>
      </c>
      <c r="I13" s="199">
        <f t="shared" si="2"/>
        <v>22332.799999999999</v>
      </c>
      <c r="L13" s="7"/>
    </row>
    <row r="14" spans="1:12" ht="47.25">
      <c r="A14" s="195">
        <v>9</v>
      </c>
      <c r="B14" s="19" t="s">
        <v>97</v>
      </c>
      <c r="C14" s="195">
        <v>4</v>
      </c>
      <c r="D14" s="196">
        <v>9.4499999999999993</v>
      </c>
      <c r="E14" s="197">
        <f t="shared" si="0"/>
        <v>37.799999999999997</v>
      </c>
      <c r="F14" s="198">
        <f t="shared" si="1"/>
        <v>3.15</v>
      </c>
      <c r="G14" s="195">
        <f>G6</f>
        <v>224</v>
      </c>
      <c r="H14" s="199">
        <f t="shared" si="3"/>
        <v>705.6</v>
      </c>
      <c r="I14" s="199">
        <f t="shared" si="2"/>
        <v>8467.2000000000007</v>
      </c>
      <c r="L14" s="7"/>
    </row>
    <row r="15" spans="1:12">
      <c r="A15" s="195">
        <v>10</v>
      </c>
      <c r="B15" s="19" t="s">
        <v>104</v>
      </c>
      <c r="C15" s="195">
        <v>1</v>
      </c>
      <c r="D15" s="196">
        <v>15.7</v>
      </c>
      <c r="E15" s="197">
        <f t="shared" si="0"/>
        <v>15.7</v>
      </c>
      <c r="F15" s="198">
        <f t="shared" si="1"/>
        <v>1.3083333333333333</v>
      </c>
      <c r="G15" s="195">
        <f>G6</f>
        <v>224</v>
      </c>
      <c r="H15" s="199">
        <f>F15*G15</f>
        <v>293.06666666666666</v>
      </c>
      <c r="I15" s="199">
        <f>H15*12</f>
        <v>3516.8</v>
      </c>
      <c r="L15" s="7"/>
    </row>
    <row r="16" spans="1:12" ht="78.75">
      <c r="A16" s="195">
        <v>11</v>
      </c>
      <c r="B16" s="48" t="s">
        <v>237</v>
      </c>
      <c r="C16" s="176">
        <v>4</v>
      </c>
      <c r="D16" s="184">
        <v>45</v>
      </c>
      <c r="E16" s="197">
        <f t="shared" si="0"/>
        <v>180</v>
      </c>
      <c r="F16" s="198">
        <f t="shared" si="1"/>
        <v>15</v>
      </c>
      <c r="G16" s="176">
        <f>G6</f>
        <v>224</v>
      </c>
      <c r="H16" s="199">
        <f t="shared" ref="H16:H17" si="4">F16*G16</f>
        <v>3360</v>
      </c>
      <c r="I16" s="199">
        <f t="shared" ref="I16" si="5">H16*12</f>
        <v>40320</v>
      </c>
      <c r="L16" s="7"/>
    </row>
    <row r="17" spans="1:12" ht="63">
      <c r="A17" s="195">
        <v>12</v>
      </c>
      <c r="B17" s="48" t="s">
        <v>238</v>
      </c>
      <c r="C17" s="176">
        <v>2</v>
      </c>
      <c r="D17" s="184">
        <v>35.5</v>
      </c>
      <c r="E17" s="197">
        <f t="shared" si="0"/>
        <v>71</v>
      </c>
      <c r="F17" s="198">
        <f>E17/12</f>
        <v>5.916666666666667</v>
      </c>
      <c r="G17" s="176">
        <f>G6</f>
        <v>224</v>
      </c>
      <c r="H17" s="199">
        <f t="shared" si="4"/>
        <v>1325.3333333333335</v>
      </c>
      <c r="I17" s="199">
        <f>H17*12</f>
        <v>15904.000000000002</v>
      </c>
      <c r="L17" s="7"/>
    </row>
    <row r="18" spans="1:12">
      <c r="A18" s="176"/>
      <c r="B18" s="48"/>
      <c r="C18" s="176"/>
      <c r="D18" s="201"/>
      <c r="E18" s="177"/>
      <c r="F18" s="178"/>
      <c r="G18" s="176"/>
      <c r="H18" s="202"/>
      <c r="I18" s="202"/>
      <c r="L18" s="7"/>
    </row>
    <row r="19" spans="1:12">
      <c r="A19" s="176"/>
      <c r="B19" s="48"/>
      <c r="C19" s="176"/>
      <c r="D19" s="201"/>
      <c r="E19" s="177"/>
      <c r="F19" s="178"/>
      <c r="G19" s="176"/>
      <c r="H19" s="202"/>
      <c r="I19" s="202"/>
      <c r="L19" s="7"/>
    </row>
    <row r="20" spans="1:12">
      <c r="A20" s="240" t="s">
        <v>106</v>
      </c>
      <c r="B20" s="240"/>
      <c r="C20" s="240"/>
      <c r="D20" s="240"/>
      <c r="E20" s="203">
        <f>SUM(E6:E15)</f>
        <v>647.08000000000004</v>
      </c>
      <c r="F20" s="204">
        <f>SUM(F6:F17)</f>
        <v>74.84</v>
      </c>
      <c r="G20" s="205"/>
      <c r="H20" s="203">
        <f>SUM(H6:H15)</f>
        <v>12078.826666666668</v>
      </c>
      <c r="I20" s="203">
        <f t="shared" ref="I20" si="6">SUM(I6:I15)</f>
        <v>144945.91999999998</v>
      </c>
      <c r="L20" s="7"/>
    </row>
    <row r="28" spans="1:12">
      <c r="C28" s="17"/>
    </row>
    <row r="29" spans="1:12">
      <c r="C29" s="17"/>
    </row>
    <row r="30" spans="1:12">
      <c r="C30" s="17"/>
    </row>
    <row r="31" spans="1:12">
      <c r="C31" s="17"/>
    </row>
  </sheetData>
  <sortState ref="B6:I15">
    <sortCondition ref="B6:B15"/>
  </sortState>
  <mergeCells count="3">
    <mergeCell ref="A20:D20"/>
    <mergeCell ref="A2:I2"/>
    <mergeCell ref="A4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4:N24"/>
  <sheetViews>
    <sheetView tabSelected="1" workbookViewId="0">
      <selection activeCell="K9" sqref="K9"/>
    </sheetView>
  </sheetViews>
  <sheetFormatPr defaultRowHeight="15"/>
  <cols>
    <col min="2" max="2" width="6.5703125" customWidth="1"/>
    <col min="3" max="3" width="60.28515625" customWidth="1"/>
    <col min="4" max="4" width="13.7109375" customWidth="1"/>
    <col min="5" max="5" width="13.28515625" customWidth="1"/>
    <col min="6" max="6" width="16.42578125" customWidth="1"/>
    <col min="7" max="7" width="13" customWidth="1"/>
    <col min="8" max="8" width="22.42578125" customWidth="1"/>
    <col min="9" max="9" width="3.42578125" customWidth="1"/>
    <col min="10" max="10" width="4.140625" customWidth="1"/>
    <col min="11" max="11" width="22.28515625" bestFit="1" customWidth="1"/>
    <col min="12" max="12" width="17.42578125" customWidth="1"/>
    <col min="13" max="13" width="15.42578125" customWidth="1"/>
  </cols>
  <sheetData>
    <row r="4" spans="2:12" ht="18">
      <c r="C4" s="23" t="s">
        <v>158</v>
      </c>
      <c r="D4" s="24" t="s">
        <v>159</v>
      </c>
      <c r="E4" s="24" t="s">
        <v>160</v>
      </c>
      <c r="F4" s="24" t="s">
        <v>161</v>
      </c>
      <c r="G4" s="24" t="s">
        <v>162</v>
      </c>
      <c r="H4" s="24" t="s">
        <v>163</v>
      </c>
      <c r="I4" s="11"/>
    </row>
    <row r="5" spans="2:12" ht="45">
      <c r="B5" s="27">
        <v>1</v>
      </c>
      <c r="C5" s="25" t="s">
        <v>164</v>
      </c>
      <c r="D5" s="28">
        <v>23647</v>
      </c>
      <c r="E5" s="28" t="s">
        <v>165</v>
      </c>
      <c r="F5" s="28">
        <v>43</v>
      </c>
      <c r="G5" s="29">
        <f>('VA Dia'!C137)*2</f>
        <v>11865.734879774256</v>
      </c>
      <c r="H5" s="29">
        <f t="shared" ref="H5:H15" si="0">F5*G5</f>
        <v>510226.59983029304</v>
      </c>
      <c r="I5" s="11"/>
      <c r="K5" s="12"/>
      <c r="L5" s="12"/>
    </row>
    <row r="6" spans="2:12" ht="45">
      <c r="B6" s="27">
        <v>2</v>
      </c>
      <c r="C6" s="25" t="s">
        <v>166</v>
      </c>
      <c r="D6" s="28">
        <v>23957</v>
      </c>
      <c r="E6" s="28" t="s">
        <v>165</v>
      </c>
      <c r="F6" s="28">
        <v>43</v>
      </c>
      <c r="G6" s="29">
        <f>('VA Noite'!C136)*2</f>
        <v>14577.473317624013</v>
      </c>
      <c r="H6" s="29">
        <f t="shared" si="0"/>
        <v>626831.35265783255</v>
      </c>
      <c r="I6" s="11"/>
      <c r="K6" s="12"/>
      <c r="L6" s="12"/>
    </row>
    <row r="7" spans="2:12" ht="60">
      <c r="B7" s="27">
        <v>3</v>
      </c>
      <c r="C7" s="25" t="s">
        <v>167</v>
      </c>
      <c r="D7" s="28">
        <v>23647</v>
      </c>
      <c r="E7" s="28" t="s">
        <v>165</v>
      </c>
      <c r="F7" s="28">
        <v>2</v>
      </c>
      <c r="G7" s="29">
        <f>('VACC Dia'!C136)*2</f>
        <v>12631.709990123087</v>
      </c>
      <c r="H7" s="29">
        <f t="shared" si="0"/>
        <v>25263.419980246174</v>
      </c>
      <c r="I7" s="11"/>
      <c r="K7" s="12"/>
      <c r="L7" s="12"/>
    </row>
    <row r="8" spans="2:12" ht="60">
      <c r="B8" s="27">
        <v>4</v>
      </c>
      <c r="C8" s="25" t="s">
        <v>168</v>
      </c>
      <c r="D8" s="28">
        <v>23957</v>
      </c>
      <c r="E8" s="28" t="s">
        <v>165</v>
      </c>
      <c r="F8" s="28">
        <v>2</v>
      </c>
      <c r="G8" s="29">
        <f>('VACC Noite'!C135)*2</f>
        <v>15332.92720434717</v>
      </c>
      <c r="H8" s="29">
        <f t="shared" si="0"/>
        <v>30665.85440869434</v>
      </c>
      <c r="I8" s="11"/>
      <c r="K8" s="12"/>
      <c r="L8" s="12"/>
    </row>
    <row r="9" spans="2:12" ht="60">
      <c r="B9" s="27">
        <v>5</v>
      </c>
      <c r="C9" s="25" t="s">
        <v>169</v>
      </c>
      <c r="D9" s="30">
        <v>23957</v>
      </c>
      <c r="E9" s="30" t="s">
        <v>165</v>
      </c>
      <c r="F9" s="30">
        <v>2</v>
      </c>
      <c r="G9" s="29">
        <f>('VACM Dia'!C135)*2</f>
        <v>12631.438721603787</v>
      </c>
      <c r="H9" s="29">
        <f t="shared" si="0"/>
        <v>25262.877443207573</v>
      </c>
      <c r="I9" s="11"/>
      <c r="K9" s="12"/>
      <c r="L9" s="12"/>
    </row>
    <row r="10" spans="2:12" ht="60">
      <c r="B10" s="27">
        <v>6</v>
      </c>
      <c r="C10" s="25" t="s">
        <v>170</v>
      </c>
      <c r="D10" s="28">
        <v>23957</v>
      </c>
      <c r="E10" s="28" t="s">
        <v>165</v>
      </c>
      <c r="F10" s="28">
        <v>2</v>
      </c>
      <c r="G10" s="29">
        <f>('VACM Noite'!C135)*2</f>
        <v>15332.92720434717</v>
      </c>
      <c r="H10" s="29">
        <f t="shared" si="0"/>
        <v>30665.85440869434</v>
      </c>
      <c r="I10" s="11"/>
      <c r="K10" s="12"/>
      <c r="L10" s="12"/>
    </row>
    <row r="11" spans="2:12" ht="45">
      <c r="B11" s="27">
        <v>7</v>
      </c>
      <c r="C11" s="25" t="s">
        <v>171</v>
      </c>
      <c r="D11" s="28">
        <v>23647</v>
      </c>
      <c r="E11" s="28" t="s">
        <v>165</v>
      </c>
      <c r="F11" s="28">
        <v>4</v>
      </c>
      <c r="G11" s="29">
        <f>G5</f>
        <v>11865.734879774256</v>
      </c>
      <c r="H11" s="29">
        <f t="shared" si="0"/>
        <v>47462.939519097024</v>
      </c>
      <c r="I11" s="11"/>
      <c r="K11" s="12"/>
      <c r="L11" s="12"/>
    </row>
    <row r="12" spans="2:12" ht="45">
      <c r="B12" s="38">
        <v>8</v>
      </c>
      <c r="C12" s="45" t="s">
        <v>229</v>
      </c>
      <c r="D12" s="37"/>
      <c r="E12" s="28" t="s">
        <v>165</v>
      </c>
      <c r="F12" s="37">
        <v>1</v>
      </c>
      <c r="G12" s="46">
        <f>'Inspetor Dia'!C137*2</f>
        <v>15689.104507431177</v>
      </c>
      <c r="H12" s="29">
        <f t="shared" si="0"/>
        <v>15689.104507431177</v>
      </c>
      <c r="I12" s="11"/>
      <c r="K12" s="12"/>
      <c r="L12" s="12"/>
    </row>
    <row r="13" spans="2:12" ht="45">
      <c r="B13" s="38">
        <v>9</v>
      </c>
      <c r="C13" s="45" t="s">
        <v>230</v>
      </c>
      <c r="D13" s="37"/>
      <c r="E13" s="28" t="s">
        <v>165</v>
      </c>
      <c r="F13" s="37">
        <v>1</v>
      </c>
      <c r="G13" s="46">
        <f>'Inspetor Noite'!C136*2</f>
        <v>19489.407871109448</v>
      </c>
      <c r="H13" s="29">
        <f t="shared" si="0"/>
        <v>19489.407871109448</v>
      </c>
      <c r="I13" s="11"/>
      <c r="K13" s="12"/>
      <c r="L13" s="12"/>
    </row>
    <row r="14" spans="2:12" ht="36">
      <c r="B14" s="27">
        <v>10</v>
      </c>
      <c r="C14" s="26" t="s">
        <v>172</v>
      </c>
      <c r="D14" s="28">
        <v>23647</v>
      </c>
      <c r="E14" s="28" t="s">
        <v>165</v>
      </c>
      <c r="F14" s="28">
        <v>6</v>
      </c>
      <c r="G14" s="29">
        <f>G5</f>
        <v>11865.734879774256</v>
      </c>
      <c r="H14" s="29">
        <f t="shared" si="0"/>
        <v>71194.409278645529</v>
      </c>
      <c r="I14" s="11"/>
      <c r="K14" s="12"/>
      <c r="L14" s="12"/>
    </row>
    <row r="15" spans="2:12" ht="36">
      <c r="B15" s="27">
        <v>11</v>
      </c>
      <c r="C15" s="26" t="s">
        <v>173</v>
      </c>
      <c r="D15" s="28">
        <v>23957</v>
      </c>
      <c r="E15" s="28" t="s">
        <v>165</v>
      </c>
      <c r="F15" s="28">
        <v>6</v>
      </c>
      <c r="G15" s="29">
        <f>G6</f>
        <v>14577.473317624013</v>
      </c>
      <c r="H15" s="29">
        <f t="shared" si="0"/>
        <v>87464.839905744084</v>
      </c>
      <c r="I15" s="11"/>
      <c r="K15" s="12"/>
      <c r="L15" s="12"/>
    </row>
    <row r="16" spans="2:12">
      <c r="C16" s="31"/>
      <c r="F16" s="38">
        <f>SUM(F5:F15)</f>
        <v>112</v>
      </c>
      <c r="G16" s="34" t="s">
        <v>177</v>
      </c>
      <c r="H16" s="33">
        <f>SUM(H5:H15)</f>
        <v>1490216.6598109955</v>
      </c>
      <c r="I16" s="13"/>
      <c r="K16" s="31"/>
      <c r="L16" s="12"/>
    </row>
    <row r="17" spans="7:14">
      <c r="G17" s="35" t="s">
        <v>178</v>
      </c>
      <c r="H17" s="33">
        <f>H16*12</f>
        <v>17882599.917731944</v>
      </c>
    </row>
    <row r="19" spans="7:14">
      <c r="K19" s="32"/>
      <c r="L19" s="32"/>
      <c r="M19" s="31"/>
      <c r="N19" s="31"/>
    </row>
    <row r="20" spans="7:14">
      <c r="H20" s="13"/>
      <c r="L20" s="31"/>
      <c r="M20" s="31"/>
    </row>
    <row r="21" spans="7:14">
      <c r="L21" s="32"/>
      <c r="M21" s="31"/>
    </row>
    <row r="22" spans="7:14">
      <c r="L22" s="31"/>
      <c r="M22" s="31"/>
    </row>
    <row r="24" spans="7:14">
      <c r="L24" s="31"/>
      <c r="M24" s="31"/>
    </row>
  </sheetData>
  <pageMargins left="0.51181102362204722" right="0.51181102362204722" top="0.78740157480314965" bottom="0.78740157480314965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8"/>
  <sheetViews>
    <sheetView view="pageBreakPreview" zoomScaleSheetLayoutView="100" workbookViewId="0">
      <selection activeCell="A7" sqref="A7:B7"/>
    </sheetView>
  </sheetViews>
  <sheetFormatPr defaultColWidth="8.85546875" defaultRowHeight="15"/>
  <cols>
    <col min="1" max="1" width="8.85546875" style="55"/>
    <col min="2" max="2" width="61.7109375" style="55" customWidth="1"/>
    <col min="3" max="3" width="17.7109375" style="55" customWidth="1"/>
    <col min="4" max="4" width="15.7109375" style="55" customWidth="1"/>
    <col min="5" max="5" width="39.28515625" style="55" customWidth="1"/>
    <col min="6" max="6" width="20.85546875" style="55" customWidth="1"/>
    <col min="7" max="16384" width="8.85546875" style="55"/>
  </cols>
  <sheetData>
    <row r="1" spans="1:5" ht="15.75">
      <c r="A1" s="52"/>
      <c r="B1" s="52"/>
      <c r="C1" s="52"/>
      <c r="D1" s="52"/>
    </row>
    <row r="2" spans="1:5" ht="15" customHeight="1">
      <c r="A2" s="209" t="s">
        <v>76</v>
      </c>
      <c r="B2" s="210"/>
      <c r="C2" s="210"/>
      <c r="D2" s="211"/>
    </row>
    <row r="3" spans="1:5" ht="15" customHeight="1">
      <c r="A3" s="212" t="s">
        <v>225</v>
      </c>
      <c r="B3" s="213"/>
      <c r="C3" s="213"/>
      <c r="D3" s="214"/>
    </row>
    <row r="4" spans="1:5" ht="15" customHeight="1">
      <c r="A4" s="207" t="str">
        <f>CCT!C4</f>
        <v>AM000057/2024</v>
      </c>
      <c r="B4" s="208"/>
      <c r="C4" s="3" t="s">
        <v>77</v>
      </c>
      <c r="D4" s="2">
        <f>CCT!C23</f>
        <v>45323</v>
      </c>
    </row>
    <row r="5" spans="1:5" ht="15" customHeight="1">
      <c r="A5" s="207" t="s">
        <v>247</v>
      </c>
      <c r="B5" s="208"/>
      <c r="C5" s="3" t="s">
        <v>87</v>
      </c>
      <c r="D5" s="49">
        <f>CCT!I2</f>
        <v>5173</v>
      </c>
    </row>
    <row r="6" spans="1:5">
      <c r="A6" s="207" t="s">
        <v>79</v>
      </c>
      <c r="B6" s="208"/>
      <c r="C6" s="3" t="s">
        <v>80</v>
      </c>
      <c r="D6" s="50">
        <v>1</v>
      </c>
    </row>
    <row r="7" spans="1:5">
      <c r="A7" s="207" t="s">
        <v>81</v>
      </c>
      <c r="B7" s="208"/>
      <c r="C7" s="3" t="s">
        <v>82</v>
      </c>
      <c r="D7" s="51" t="s">
        <v>83</v>
      </c>
    </row>
    <row r="8" spans="1:5" ht="15.75">
      <c r="A8" s="52"/>
      <c r="B8" s="52"/>
      <c r="C8" s="52"/>
      <c r="D8" s="52"/>
    </row>
    <row r="9" spans="1:5" ht="15.75">
      <c r="A9" s="215" t="s">
        <v>9</v>
      </c>
      <c r="B9" s="215"/>
      <c r="C9" s="215"/>
      <c r="D9" s="215"/>
    </row>
    <row r="10" spans="1:5" ht="16.5" thickBot="1">
      <c r="A10" s="52"/>
      <c r="B10" s="52"/>
      <c r="C10" s="52"/>
      <c r="D10" s="52"/>
    </row>
    <row r="11" spans="1:5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5" ht="16.5" thickBot="1">
      <c r="A12" s="58" t="s">
        <v>12</v>
      </c>
      <c r="B12" s="218" t="s">
        <v>13</v>
      </c>
      <c r="C12" s="219"/>
      <c r="D12" s="53">
        <f>CCT!C36</f>
        <v>2352.02</v>
      </c>
      <c r="E12" s="52"/>
    </row>
    <row r="13" spans="1:5" ht="16.5" thickBot="1">
      <c r="A13" s="58" t="s">
        <v>14</v>
      </c>
      <c r="B13" s="218" t="s">
        <v>144</v>
      </c>
      <c r="C13" s="219"/>
      <c r="D13" s="54">
        <v>0</v>
      </c>
      <c r="E13" s="52"/>
    </row>
    <row r="14" spans="1:5" ht="16.5" thickBot="1">
      <c r="A14" s="58" t="s">
        <v>16</v>
      </c>
      <c r="B14" s="218" t="s">
        <v>15</v>
      </c>
      <c r="C14" s="219"/>
      <c r="D14" s="54">
        <f>$D$12*0.3</f>
        <v>705.60599999999999</v>
      </c>
      <c r="E14" s="52"/>
    </row>
    <row r="15" spans="1:5" ht="16.5" thickBot="1">
      <c r="A15" s="58" t="s">
        <v>17</v>
      </c>
      <c r="B15" s="218" t="s">
        <v>0</v>
      </c>
      <c r="C15" s="219"/>
      <c r="D15" s="14">
        <v>0</v>
      </c>
      <c r="E15" s="52"/>
    </row>
    <row r="16" spans="1:5" ht="16.5" thickBot="1">
      <c r="A16" s="58" t="s">
        <v>18</v>
      </c>
      <c r="B16" s="218" t="s">
        <v>19</v>
      </c>
      <c r="C16" s="219"/>
      <c r="D16" s="14">
        <v>0</v>
      </c>
      <c r="E16" s="52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2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3057.6260000000002</v>
      </c>
      <c r="E19" s="60"/>
    </row>
    <row r="20" spans="1:5" ht="16.5" thickBot="1">
      <c r="A20" s="220" t="s">
        <v>149</v>
      </c>
      <c r="B20" s="221"/>
      <c r="C20" s="222"/>
      <c r="D20" s="18">
        <f>D19-D18</f>
        <v>3057.6260000000002</v>
      </c>
      <c r="E20" s="59"/>
    </row>
    <row r="21" spans="1:5" ht="15.75">
      <c r="A21" s="52"/>
      <c r="B21" s="52"/>
      <c r="C21" s="52"/>
      <c r="D21" s="59">
        <f>D20-D19</f>
        <v>0</v>
      </c>
      <c r="E21" s="61"/>
    </row>
    <row r="22" spans="1:5" ht="6.6" customHeight="1">
      <c r="A22" s="52"/>
      <c r="B22" s="52"/>
      <c r="C22" s="52"/>
      <c r="D22" s="52"/>
      <c r="E22" s="61"/>
    </row>
    <row r="23" spans="1:5" ht="15.75">
      <c r="A23" s="215" t="s">
        <v>22</v>
      </c>
      <c r="B23" s="215"/>
      <c r="C23" s="215"/>
      <c r="D23" s="215"/>
      <c r="E23" s="61"/>
    </row>
    <row r="24" spans="1:5" ht="15.75">
      <c r="A24" s="62"/>
      <c r="B24" s="52"/>
      <c r="C24" s="52"/>
      <c r="D24" s="52"/>
    </row>
    <row r="25" spans="1:5" ht="15.75">
      <c r="A25" s="223" t="s">
        <v>23</v>
      </c>
      <c r="B25" s="223"/>
      <c r="C25" s="223"/>
      <c r="D25" s="223"/>
    </row>
    <row r="26" spans="1:5" ht="16.5" thickBot="1">
      <c r="A26" s="52"/>
      <c r="B26" s="63" t="s">
        <v>71</v>
      </c>
      <c r="C26" s="52"/>
      <c r="D26" s="52"/>
    </row>
    <row r="27" spans="1:5" ht="16.5" thickBot="1">
      <c r="A27" s="56" t="s">
        <v>24</v>
      </c>
      <c r="B27" s="57" t="s">
        <v>25</v>
      </c>
      <c r="C27" s="56" t="s">
        <v>72</v>
      </c>
      <c r="D27" s="57" t="s">
        <v>11</v>
      </c>
      <c r="E27" s="52"/>
    </row>
    <row r="28" spans="1:5" ht="16.5" thickBot="1">
      <c r="A28" s="58" t="s">
        <v>12</v>
      </c>
      <c r="B28" s="4" t="s">
        <v>245</v>
      </c>
      <c r="C28" s="64">
        <v>8.3333329999999997E-2</v>
      </c>
      <c r="D28" s="65">
        <f>D20*C28</f>
        <v>254.80215647458002</v>
      </c>
      <c r="E28" s="59"/>
    </row>
    <row r="29" spans="1:5" ht="16.5" thickBot="1">
      <c r="A29" s="58" t="s">
        <v>14</v>
      </c>
      <c r="B29" s="4" t="s">
        <v>148</v>
      </c>
      <c r="C29" s="66">
        <f>((1/12)+(1/3/12))</f>
        <v>0.1111111111111111</v>
      </c>
      <c r="D29" s="65">
        <f>D20*C29</f>
        <v>339.73622222222224</v>
      </c>
      <c r="E29" s="59"/>
    </row>
    <row r="30" spans="1:5" ht="16.5" thickBot="1">
      <c r="A30" s="220" t="s">
        <v>1</v>
      </c>
      <c r="B30" s="224"/>
      <c r="C30" s="67">
        <f>SUM(C28:C29)</f>
        <v>0.19444444111111109</v>
      </c>
      <c r="D30" s="68">
        <f>SUM(D28:D29)</f>
        <v>594.53837869680228</v>
      </c>
      <c r="E30" s="59"/>
    </row>
    <row r="31" spans="1:5" ht="15.75">
      <c r="A31" s="52"/>
      <c r="B31" s="52"/>
      <c r="C31" s="52"/>
      <c r="D31" s="52"/>
    </row>
    <row r="32" spans="1:5" ht="15.75">
      <c r="A32" s="225" t="s">
        <v>26</v>
      </c>
      <c r="B32" s="225"/>
      <c r="C32" s="225"/>
      <c r="D32" s="225"/>
    </row>
    <row r="33" spans="1:5" ht="16.5" thickBot="1">
      <c r="A33" s="52"/>
      <c r="B33" s="63" t="s">
        <v>70</v>
      </c>
      <c r="C33" s="52"/>
      <c r="D33" s="52"/>
    </row>
    <row r="34" spans="1:5" ht="16.5" thickBot="1">
      <c r="A34" s="56" t="s">
        <v>27</v>
      </c>
      <c r="B34" s="57" t="s">
        <v>28</v>
      </c>
      <c r="C34" s="57" t="s">
        <v>29</v>
      </c>
      <c r="D34" s="57" t="s">
        <v>11</v>
      </c>
    </row>
    <row r="35" spans="1:5" ht="16.5" thickBot="1">
      <c r="A35" s="58" t="s">
        <v>12</v>
      </c>
      <c r="B35" s="4" t="s">
        <v>30</v>
      </c>
      <c r="C35" s="69">
        <v>0.2</v>
      </c>
      <c r="D35" s="65">
        <f>($D$20+$D$30)*C35</f>
        <v>730.4328757393605</v>
      </c>
      <c r="E35" s="70"/>
    </row>
    <row r="36" spans="1:5" ht="14.25" customHeight="1" thickBot="1">
      <c r="A36" s="58" t="s">
        <v>14</v>
      </c>
      <c r="B36" s="4" t="s">
        <v>31</v>
      </c>
      <c r="C36" s="69">
        <v>2.5000000000000001E-2</v>
      </c>
      <c r="D36" s="65">
        <f t="shared" ref="D36:D42" si="0">($D$20+$D$30)*C36</f>
        <v>91.304109467420062</v>
      </c>
      <c r="E36" s="71"/>
    </row>
    <row r="37" spans="1:5" ht="16.5" thickBot="1">
      <c r="A37" s="58" t="s">
        <v>16</v>
      </c>
      <c r="B37" s="4" t="s">
        <v>67</v>
      </c>
      <c r="C37" s="69">
        <v>0.03</v>
      </c>
      <c r="D37" s="65">
        <f t="shared" si="0"/>
        <v>109.56493136090407</v>
      </c>
      <c r="E37" s="70"/>
    </row>
    <row r="38" spans="1:5" ht="16.5" thickBot="1">
      <c r="A38" s="58" t="s">
        <v>17</v>
      </c>
      <c r="B38" s="4" t="s">
        <v>32</v>
      </c>
      <c r="C38" s="69">
        <v>1.4999999999999999E-2</v>
      </c>
      <c r="D38" s="65">
        <f t="shared" si="0"/>
        <v>54.782465680452034</v>
      </c>
      <c r="E38" s="70"/>
    </row>
    <row r="39" spans="1:5" ht="16.5" thickBot="1">
      <c r="A39" s="58" t="s">
        <v>18</v>
      </c>
      <c r="B39" s="4" t="s">
        <v>33</v>
      </c>
      <c r="C39" s="69">
        <v>0.01</v>
      </c>
      <c r="D39" s="65">
        <f t="shared" si="0"/>
        <v>36.521643786968028</v>
      </c>
      <c r="E39" s="70"/>
    </row>
    <row r="40" spans="1:5" ht="16.5" thickBot="1">
      <c r="A40" s="58" t="s">
        <v>20</v>
      </c>
      <c r="B40" s="4" t="s">
        <v>2</v>
      </c>
      <c r="C40" s="69">
        <v>6.0000000000000001E-3</v>
      </c>
      <c r="D40" s="65">
        <f t="shared" si="0"/>
        <v>21.912986272180817</v>
      </c>
      <c r="E40" s="71"/>
    </row>
    <row r="41" spans="1:5" ht="16.5" thickBot="1">
      <c r="A41" s="58" t="s">
        <v>21</v>
      </c>
      <c r="B41" s="4" t="s">
        <v>3</v>
      </c>
      <c r="C41" s="69">
        <v>2E-3</v>
      </c>
      <c r="D41" s="65">
        <f t="shared" si="0"/>
        <v>7.3043287573936055</v>
      </c>
      <c r="E41" s="71"/>
    </row>
    <row r="42" spans="1:5" ht="15.75" customHeight="1" thickBot="1">
      <c r="A42" s="58" t="s">
        <v>34</v>
      </c>
      <c r="B42" s="4" t="s">
        <v>4</v>
      </c>
      <c r="C42" s="69">
        <v>0.08</v>
      </c>
      <c r="D42" s="65">
        <f t="shared" si="0"/>
        <v>292.17315029574422</v>
      </c>
      <c r="E42" s="72"/>
    </row>
    <row r="43" spans="1:5" ht="16.5" thickBot="1">
      <c r="A43" s="220" t="s">
        <v>35</v>
      </c>
      <c r="B43" s="224"/>
      <c r="C43" s="73">
        <f>SUM(C35:C42)</f>
        <v>0.36800000000000005</v>
      </c>
      <c r="D43" s="68">
        <f>SUM(D35:D42)</f>
        <v>1343.9964913604235</v>
      </c>
    </row>
    <row r="44" spans="1:5" ht="15.75">
      <c r="A44" s="52"/>
      <c r="B44" s="52"/>
      <c r="C44" s="52"/>
      <c r="D44" s="52"/>
    </row>
    <row r="45" spans="1:5" ht="15.75">
      <c r="A45" s="223" t="s">
        <v>36</v>
      </c>
      <c r="B45" s="223"/>
      <c r="C45" s="223"/>
      <c r="D45" s="223"/>
    </row>
    <row r="46" spans="1:5" ht="16.5" thickBot="1">
      <c r="A46" s="52"/>
      <c r="B46" s="63" t="s">
        <v>69</v>
      </c>
      <c r="C46" s="52"/>
      <c r="D46" s="52"/>
    </row>
    <row r="47" spans="1:5" ht="16.5" thickBot="1">
      <c r="A47" s="56" t="s">
        <v>37</v>
      </c>
      <c r="B47" s="57" t="s">
        <v>38</v>
      </c>
      <c r="C47" s="74" t="s">
        <v>232</v>
      </c>
      <c r="D47" s="57" t="s">
        <v>11</v>
      </c>
      <c r="E47" s="52"/>
    </row>
    <row r="48" spans="1:5" ht="19.5" thickBot="1">
      <c r="A48" s="58" t="s">
        <v>12</v>
      </c>
      <c r="B48" s="4" t="s">
        <v>228</v>
      </c>
      <c r="C48" s="75" t="s">
        <v>154</v>
      </c>
      <c r="D48" s="76">
        <f>((4.5*2)*15)</f>
        <v>135</v>
      </c>
      <c r="E48" s="77"/>
    </row>
    <row r="49" spans="1:5" ht="17.45" customHeight="1" thickBot="1">
      <c r="A49" s="58"/>
      <c r="B49" s="4" t="s">
        <v>68</v>
      </c>
      <c r="C49" s="78">
        <f>CCT!D31</f>
        <v>0.06</v>
      </c>
      <c r="D49" s="76">
        <f>-($D$12*C49)</f>
        <v>-141.12119999999999</v>
      </c>
      <c r="E49" s="59"/>
    </row>
    <row r="50" spans="1:5" ht="16.5" thickBot="1">
      <c r="A50" s="58" t="s">
        <v>14</v>
      </c>
      <c r="B50" s="4" t="s">
        <v>233</v>
      </c>
      <c r="C50" s="75" t="s">
        <v>227</v>
      </c>
      <c r="D50" s="76">
        <f>15*CCT!C30</f>
        <v>468</v>
      </c>
      <c r="E50" s="52"/>
    </row>
    <row r="51" spans="1:5" ht="16.5" thickBot="1">
      <c r="A51" s="58"/>
      <c r="B51" s="4" t="s">
        <v>151</v>
      </c>
      <c r="C51" s="78">
        <f>CCT!D30</f>
        <v>0.05</v>
      </c>
      <c r="D51" s="76">
        <f>-C51*D50</f>
        <v>-23.400000000000002</v>
      </c>
      <c r="E51" s="52"/>
    </row>
    <row r="52" spans="1:5" ht="16.5" thickBot="1">
      <c r="A52" s="79" t="s">
        <v>16</v>
      </c>
      <c r="B52" s="80" t="s">
        <v>125</v>
      </c>
      <c r="C52" s="75"/>
      <c r="D52" s="76">
        <v>0</v>
      </c>
      <c r="E52" s="52"/>
    </row>
    <row r="53" spans="1:5" ht="16.5" thickBot="1">
      <c r="A53" s="58" t="s">
        <v>17</v>
      </c>
      <c r="B53" s="4" t="s">
        <v>234</v>
      </c>
      <c r="C53" s="81"/>
      <c r="D53" s="82">
        <f>CCT!C32</f>
        <v>136.88999999999999</v>
      </c>
      <c r="E53" s="83"/>
    </row>
    <row r="54" spans="1:5" ht="16.5" thickBot="1">
      <c r="A54" s="58"/>
      <c r="B54" s="4" t="s">
        <v>152</v>
      </c>
      <c r="C54" s="84">
        <f>CCT!D32</f>
        <v>0.05</v>
      </c>
      <c r="D54" s="76">
        <f>-CCT!C32*CCT!D32</f>
        <v>-6.8445</v>
      </c>
      <c r="E54" s="85"/>
    </row>
    <row r="55" spans="1:5" ht="16.5" thickBot="1">
      <c r="A55" s="58" t="s">
        <v>18</v>
      </c>
      <c r="B55" s="4" t="s">
        <v>197</v>
      </c>
      <c r="C55" s="4"/>
      <c r="D55" s="82">
        <f>CCT!C33</f>
        <v>12</v>
      </c>
      <c r="E55" s="59"/>
    </row>
    <row r="56" spans="1:5" ht="16.5" thickBot="1">
      <c r="A56" s="58" t="s">
        <v>20</v>
      </c>
      <c r="B56" s="4" t="s">
        <v>239</v>
      </c>
      <c r="C56" s="86">
        <f>CCT!D33</f>
        <v>0.5</v>
      </c>
      <c r="D56" s="54">
        <f>-C56*D55</f>
        <v>-6</v>
      </c>
      <c r="E56" s="52"/>
    </row>
    <row r="57" spans="1:5" ht="16.5" thickBot="1">
      <c r="A57" s="220" t="s">
        <v>1</v>
      </c>
      <c r="B57" s="224"/>
      <c r="C57" s="87"/>
      <c r="D57" s="18">
        <f>SUM(D48:D56)</f>
        <v>574.52429999999993</v>
      </c>
      <c r="E57" s="52"/>
    </row>
    <row r="58" spans="1:5" ht="15.75">
      <c r="A58" s="52"/>
      <c r="B58" s="52" t="s">
        <v>145</v>
      </c>
      <c r="C58" s="52"/>
      <c r="D58" s="52"/>
    </row>
    <row r="59" spans="1:5" ht="15.75">
      <c r="A59" s="223" t="s">
        <v>39</v>
      </c>
      <c r="B59" s="223"/>
      <c r="C59" s="223"/>
      <c r="D59" s="52"/>
    </row>
    <row r="60" spans="1:5" ht="16.5" thickBot="1">
      <c r="A60" s="52"/>
      <c r="B60" s="88" t="s">
        <v>246</v>
      </c>
      <c r="C60" s="52"/>
      <c r="D60" s="52"/>
    </row>
    <row r="61" spans="1:5" ht="16.5" thickBot="1">
      <c r="A61" s="56">
        <v>2</v>
      </c>
      <c r="B61" s="57" t="s">
        <v>40</v>
      </c>
      <c r="C61" s="57" t="s">
        <v>11</v>
      </c>
      <c r="D61" s="52"/>
    </row>
    <row r="62" spans="1:5" ht="16.5" thickBot="1">
      <c r="A62" s="58" t="s">
        <v>24</v>
      </c>
      <c r="B62" s="4" t="s">
        <v>25</v>
      </c>
      <c r="C62" s="65">
        <f>D30</f>
        <v>594.53837869680228</v>
      </c>
      <c r="D62" s="52"/>
    </row>
    <row r="63" spans="1:5" ht="16.5" thickBot="1">
      <c r="A63" s="58" t="s">
        <v>27</v>
      </c>
      <c r="B63" s="4" t="s">
        <v>28</v>
      </c>
      <c r="C63" s="65">
        <f>D43</f>
        <v>1343.9964913604235</v>
      </c>
      <c r="D63" s="52"/>
    </row>
    <row r="64" spans="1:5" ht="16.5" thickBot="1">
      <c r="A64" s="58" t="s">
        <v>37</v>
      </c>
      <c r="B64" s="4" t="s">
        <v>38</v>
      </c>
      <c r="C64" s="65">
        <f>D57</f>
        <v>574.52429999999993</v>
      </c>
      <c r="D64" s="52"/>
    </row>
    <row r="65" spans="1:6" ht="16.5" thickBot="1">
      <c r="A65" s="226" t="s">
        <v>1</v>
      </c>
      <c r="B65" s="227"/>
      <c r="C65" s="89">
        <f>SUM(C62:C64)</f>
        <v>2513.0591700572259</v>
      </c>
      <c r="D65" s="52"/>
    </row>
    <row r="66" spans="1:6" ht="15.75">
      <c r="A66" s="90"/>
      <c r="B66" s="52"/>
      <c r="C66" s="52"/>
      <c r="D66" s="52"/>
    </row>
    <row r="67" spans="1:6" ht="15.75">
      <c r="A67" s="215" t="s">
        <v>41</v>
      </c>
      <c r="B67" s="215"/>
      <c r="C67" s="215"/>
      <c r="D67" s="215"/>
    </row>
    <row r="68" spans="1:6" ht="16.5" thickBot="1">
      <c r="A68" s="228" t="s">
        <v>142</v>
      </c>
      <c r="B68" s="228"/>
      <c r="C68" s="228"/>
      <c r="D68" s="228"/>
    </row>
    <row r="69" spans="1:6" ht="16.5" thickBot="1">
      <c r="A69" s="56">
        <v>3</v>
      </c>
      <c r="B69" s="57" t="s">
        <v>42</v>
      </c>
      <c r="C69" s="91" t="s">
        <v>72</v>
      </c>
      <c r="D69" s="56" t="s">
        <v>11</v>
      </c>
      <c r="E69" s="92"/>
    </row>
    <row r="70" spans="1:6" ht="16.5" thickBot="1">
      <c r="A70" s="58" t="s">
        <v>12</v>
      </c>
      <c r="B70" s="93" t="s">
        <v>43</v>
      </c>
      <c r="C70" s="94">
        <f>(100%*(1/12)*5%)*100%</f>
        <v>4.1666666666666666E-3</v>
      </c>
      <c r="D70" s="95">
        <f>C70*$D$20</f>
        <v>12.740108333333334</v>
      </c>
      <c r="E70" s="96"/>
    </row>
    <row r="71" spans="1:6" ht="16.5" thickBot="1">
      <c r="A71" s="58" t="s">
        <v>14</v>
      </c>
      <c r="B71" s="93" t="s">
        <v>44</v>
      </c>
      <c r="C71" s="97">
        <f>C70*C42</f>
        <v>3.3333333333333332E-4</v>
      </c>
      <c r="D71" s="95">
        <f t="shared" ref="D71:D75" si="1">C71*$D$20</f>
        <v>1.0192086666666667</v>
      </c>
      <c r="E71" s="96"/>
    </row>
    <row r="72" spans="1:6" ht="16.5" thickBot="1">
      <c r="A72" s="58" t="s">
        <v>16</v>
      </c>
      <c r="B72" s="93" t="s">
        <v>146</v>
      </c>
      <c r="C72" s="98">
        <f>C71*40%</f>
        <v>1.3333333333333334E-4</v>
      </c>
      <c r="D72" s="95">
        <f t="shared" si="1"/>
        <v>0.40768346666666672</v>
      </c>
      <c r="E72" s="52"/>
    </row>
    <row r="73" spans="1:6" ht="16.5" thickBot="1">
      <c r="A73" s="58" t="s">
        <v>17</v>
      </c>
      <c r="B73" s="93" t="s">
        <v>46</v>
      </c>
      <c r="C73" s="99">
        <f>((7/30)/12)</f>
        <v>1.9444444444444445E-2</v>
      </c>
      <c r="D73" s="95">
        <f t="shared" si="1"/>
        <v>59.453838888888896</v>
      </c>
      <c r="E73" s="52"/>
    </row>
    <row r="74" spans="1:6" ht="32.25" thickBot="1">
      <c r="A74" s="58" t="s">
        <v>18</v>
      </c>
      <c r="B74" s="93" t="s">
        <v>78</v>
      </c>
      <c r="C74" s="98">
        <f>C43*C73</f>
        <v>7.1555555555555565E-3</v>
      </c>
      <c r="D74" s="95">
        <f t="shared" si="1"/>
        <v>21.879012711111116</v>
      </c>
      <c r="E74" s="59"/>
    </row>
    <row r="75" spans="1:6" ht="16.5" thickBot="1">
      <c r="A75" s="58" t="s">
        <v>20</v>
      </c>
      <c r="B75" s="93" t="s">
        <v>147</v>
      </c>
      <c r="C75" s="98">
        <f>((100%+8.33%+11.11%)*8%*40%+0.18%)</f>
        <v>4.0020800000000002E-2</v>
      </c>
      <c r="D75" s="95">
        <f t="shared" si="1"/>
        <v>122.36863862080001</v>
      </c>
      <c r="E75" s="52"/>
    </row>
    <row r="76" spans="1:6" ht="16.5" thickBot="1">
      <c r="A76" s="229" t="s">
        <v>1</v>
      </c>
      <c r="B76" s="230"/>
      <c r="C76" s="100">
        <f>SUM(C70:C75)</f>
        <v>7.125413333333333E-2</v>
      </c>
      <c r="D76" s="101">
        <f>SUM(D70:D75)</f>
        <v>217.8684906874667</v>
      </c>
      <c r="E76" s="102"/>
      <c r="F76" s="61"/>
    </row>
    <row r="77" spans="1:6" ht="15.75">
      <c r="A77" s="52"/>
      <c r="B77" s="52"/>
      <c r="C77" s="103"/>
      <c r="D77" s="52"/>
      <c r="E77" s="61"/>
      <c r="F77" s="61"/>
    </row>
    <row r="78" spans="1:6" ht="15.75">
      <c r="A78" s="215" t="s">
        <v>48</v>
      </c>
      <c r="B78" s="215"/>
      <c r="C78" s="215"/>
      <c r="D78" s="215"/>
      <c r="E78" s="61"/>
    </row>
    <row r="79" spans="1:6">
      <c r="A79" s="104"/>
      <c r="B79" s="104"/>
      <c r="C79" s="104"/>
      <c r="D79" s="105"/>
      <c r="E79" s="61"/>
    </row>
    <row r="80" spans="1:6" ht="15.75">
      <c r="A80" s="223" t="s">
        <v>49</v>
      </c>
      <c r="B80" s="223"/>
      <c r="C80" s="223"/>
      <c r="D80" s="223"/>
      <c r="E80" s="106" t="s">
        <v>176</v>
      </c>
      <c r="F80" s="61"/>
    </row>
    <row r="81" spans="1:5" ht="16.5" customHeight="1" thickBot="1">
      <c r="D81" s="59"/>
      <c r="E81" s="61"/>
    </row>
    <row r="82" spans="1:5" ht="16.5" thickBot="1">
      <c r="A82" s="56" t="s">
        <v>50</v>
      </c>
      <c r="B82" s="57" t="s">
        <v>51</v>
      </c>
      <c r="C82" s="56" t="s">
        <v>72</v>
      </c>
      <c r="D82" s="57" t="s">
        <v>11</v>
      </c>
      <c r="E82" s="59"/>
    </row>
    <row r="83" spans="1:5" ht="16.5" thickBot="1">
      <c r="A83" s="58" t="s">
        <v>12</v>
      </c>
      <c r="B83" s="4" t="s">
        <v>150</v>
      </c>
      <c r="C83" s="107">
        <f>((((1/12/12))+(((1/12/12)/3))*100%))</f>
        <v>9.2592592592592587E-3</v>
      </c>
      <c r="D83" s="65">
        <f>($D$20+$D$30+$D$43)*C83*0</f>
        <v>0</v>
      </c>
      <c r="E83" s="108"/>
    </row>
    <row r="84" spans="1:5" ht="16.5" thickBot="1">
      <c r="A84" s="58" t="s">
        <v>14</v>
      </c>
      <c r="B84" s="4" t="s">
        <v>137</v>
      </c>
      <c r="C84" s="107">
        <f>((2/30)/12)*100%</f>
        <v>5.5555555555555558E-3</v>
      </c>
      <c r="D84" s="65">
        <f>($D$20+D57)*C84</f>
        <v>20.178612777777779</v>
      </c>
      <c r="E84" s="109"/>
    </row>
    <row r="85" spans="1:5" ht="16.5" thickBot="1">
      <c r="A85" s="58" t="s">
        <v>16</v>
      </c>
      <c r="B85" s="4" t="s">
        <v>138</v>
      </c>
      <c r="C85" s="110">
        <f>(((5/30)/12)*0.015)*100%</f>
        <v>2.0833333333333332E-4</v>
      </c>
      <c r="D85" s="65">
        <f t="shared" ref="D85:D87" si="2">($D$20+$D$30+$D$43)*C85</f>
        <v>1.0408668479285887</v>
      </c>
      <c r="E85" s="52"/>
    </row>
    <row r="86" spans="1:5" ht="16.5" thickBot="1">
      <c r="A86" s="58" t="s">
        <v>18</v>
      </c>
      <c r="B86" s="4" t="s">
        <v>139</v>
      </c>
      <c r="C86" s="110">
        <f>(((15/30)/12)*0.08)*100%</f>
        <v>3.3333333333333331E-3</v>
      </c>
      <c r="D86" s="65">
        <f>($D$20+$D$30+$D$43)*C86</f>
        <v>16.65386956685742</v>
      </c>
      <c r="E86" s="52"/>
    </row>
    <row r="87" spans="1:5" ht="16.5" thickBot="1">
      <c r="A87" s="79" t="s">
        <v>17</v>
      </c>
      <c r="B87" s="111" t="s">
        <v>140</v>
      </c>
      <c r="C87" s="112">
        <f>((4/12)/12*0.02*100%)</f>
        <v>5.5555555555555556E-4</v>
      </c>
      <c r="D87" s="65">
        <f t="shared" si="2"/>
        <v>2.7756449278095698</v>
      </c>
      <c r="E87" s="59"/>
    </row>
    <row r="88" spans="1:5" ht="16.5" thickBot="1">
      <c r="A88" s="79" t="s">
        <v>20</v>
      </c>
      <c r="B88" s="4" t="s">
        <v>141</v>
      </c>
      <c r="C88" s="110">
        <v>0</v>
      </c>
      <c r="D88" s="65">
        <f t="shared" ref="D88" si="3">$D$19*C88</f>
        <v>0</v>
      </c>
      <c r="E88" s="59"/>
    </row>
    <row r="89" spans="1:5" ht="16.5" thickBot="1">
      <c r="A89" s="216" t="s">
        <v>35</v>
      </c>
      <c r="B89" s="232"/>
      <c r="C89" s="113">
        <f>SUM(C83:C88)</f>
        <v>1.8912037037037036E-2</v>
      </c>
      <c r="D89" s="114">
        <f>SUM(D83:D88)</f>
        <v>40.648994120373359</v>
      </c>
    </row>
    <row r="90" spans="1:5" ht="15.75">
      <c r="A90" s="52"/>
      <c r="B90" s="52"/>
      <c r="C90" s="52"/>
      <c r="D90" s="52"/>
      <c r="E90" s="61"/>
    </row>
    <row r="91" spans="1:5" ht="15.75">
      <c r="A91" s="223" t="s">
        <v>52</v>
      </c>
      <c r="B91" s="223"/>
      <c r="C91" s="223"/>
      <c r="D91" s="223"/>
    </row>
    <row r="92" spans="1:5" ht="16.5" thickBot="1">
      <c r="A92" s="62"/>
      <c r="B92" s="52"/>
      <c r="C92" s="52"/>
      <c r="D92" s="52"/>
    </row>
    <row r="93" spans="1:5" ht="16.5" thickBot="1">
      <c r="A93" s="56" t="s">
        <v>53</v>
      </c>
      <c r="B93" s="57" t="s">
        <v>54</v>
      </c>
      <c r="C93" s="56" t="s">
        <v>72</v>
      </c>
      <c r="D93" s="57" t="s">
        <v>11</v>
      </c>
      <c r="E93" s="52"/>
    </row>
    <row r="94" spans="1:5" ht="16.5" thickBot="1">
      <c r="A94" s="58" t="s">
        <v>12</v>
      </c>
      <c r="B94" s="4" t="s">
        <v>66</v>
      </c>
      <c r="C94" s="115" t="s">
        <v>179</v>
      </c>
      <c r="D94" s="116">
        <f>(($D$20/180)*1.5)*15</f>
        <v>382.20325000000008</v>
      </c>
      <c r="E94" s="52"/>
    </row>
    <row r="95" spans="1:5" ht="16.5" thickBot="1">
      <c r="A95" s="216" t="s">
        <v>1</v>
      </c>
      <c r="B95" s="232"/>
      <c r="C95" s="117"/>
      <c r="D95" s="118">
        <f>SUM(D94)</f>
        <v>382.20325000000008</v>
      </c>
      <c r="E95" s="52"/>
    </row>
    <row r="96" spans="1:5" ht="15.75">
      <c r="A96" s="52"/>
      <c r="B96" s="52"/>
      <c r="C96" s="52"/>
      <c r="D96" s="52"/>
      <c r="E96" s="52"/>
    </row>
    <row r="97" spans="1:5" ht="15.75">
      <c r="A97" s="223" t="s">
        <v>55</v>
      </c>
      <c r="B97" s="223"/>
      <c r="C97" s="223"/>
    </row>
    <row r="98" spans="1:5" ht="16.5" thickBot="1">
      <c r="A98" s="62"/>
      <c r="B98" s="52"/>
      <c r="C98" s="52"/>
    </row>
    <row r="99" spans="1:5" ht="16.5" thickBot="1">
      <c r="A99" s="56">
        <v>4</v>
      </c>
      <c r="B99" s="57" t="s">
        <v>56</v>
      </c>
      <c r="C99" s="57" t="s">
        <v>11</v>
      </c>
      <c r="D99" s="52"/>
    </row>
    <row r="100" spans="1:5" ht="16.5" thickBot="1">
      <c r="A100" s="58" t="s">
        <v>50</v>
      </c>
      <c r="B100" s="4" t="s">
        <v>51</v>
      </c>
      <c r="C100" s="54">
        <f>D89</f>
        <v>40.648994120373359</v>
      </c>
      <c r="D100" s="52"/>
    </row>
    <row r="101" spans="1:5" ht="16.5" thickBot="1">
      <c r="A101" s="58" t="s">
        <v>53</v>
      </c>
      <c r="B101" s="4" t="s">
        <v>54</v>
      </c>
      <c r="C101" s="54">
        <f>D95</f>
        <v>382.20325000000008</v>
      </c>
      <c r="D101" s="52"/>
    </row>
    <row r="102" spans="1:5" ht="15.75" customHeight="1" thickBot="1">
      <c r="A102" s="216" t="s">
        <v>1</v>
      </c>
      <c r="B102" s="232"/>
      <c r="C102" s="118">
        <f>SUM(C100:C101)</f>
        <v>422.85224412037343</v>
      </c>
      <c r="D102" s="52"/>
    </row>
    <row r="103" spans="1:5" ht="15.75">
      <c r="A103" s="52"/>
      <c r="B103" s="52"/>
      <c r="C103" s="52"/>
      <c r="D103" s="52"/>
    </row>
    <row r="104" spans="1:5" ht="9.6" customHeight="1">
      <c r="A104" s="52"/>
      <c r="B104" s="52"/>
      <c r="C104" s="52"/>
      <c r="D104" s="52"/>
    </row>
    <row r="105" spans="1:5" ht="15.75">
      <c r="A105" s="231" t="s">
        <v>57</v>
      </c>
      <c r="B105" s="231"/>
      <c r="C105" s="231"/>
    </row>
    <row r="106" spans="1:5" ht="16.5" thickBot="1">
      <c r="A106" s="52"/>
      <c r="B106" s="52"/>
      <c r="C106" s="52"/>
    </row>
    <row r="107" spans="1:5" ht="16.5" thickBot="1">
      <c r="A107" s="56">
        <v>5</v>
      </c>
      <c r="B107" s="119" t="s">
        <v>5</v>
      </c>
      <c r="C107" s="57" t="s">
        <v>11</v>
      </c>
      <c r="D107" s="52"/>
    </row>
    <row r="108" spans="1:5" ht="16.5" thickBot="1">
      <c r="A108" s="58" t="s">
        <v>12</v>
      </c>
      <c r="B108" s="4" t="s">
        <v>58</v>
      </c>
      <c r="C108" s="54">
        <f>Unif!F20</f>
        <v>74.84</v>
      </c>
      <c r="D108" s="52"/>
    </row>
    <row r="109" spans="1:5" ht="16.5" thickBot="1">
      <c r="A109" s="58" t="s">
        <v>14</v>
      </c>
      <c r="B109" s="4" t="s">
        <v>126</v>
      </c>
      <c r="C109" s="54">
        <f>Equipam!H30</f>
        <v>152.53421778771545</v>
      </c>
      <c r="D109" s="52"/>
    </row>
    <row r="110" spans="1:5" ht="16.5" thickBot="1">
      <c r="A110" s="58" t="s">
        <v>16</v>
      </c>
      <c r="B110" s="4" t="s">
        <v>127</v>
      </c>
      <c r="C110" s="14"/>
      <c r="E110" s="52"/>
    </row>
    <row r="111" spans="1:5" ht="16.5" thickBot="1">
      <c r="A111" s="58" t="s">
        <v>17</v>
      </c>
      <c r="B111" s="4" t="s">
        <v>84</v>
      </c>
      <c r="C111" s="54"/>
      <c r="D111" s="52"/>
    </row>
    <row r="112" spans="1:5" ht="16.5" thickBot="1">
      <c r="A112" s="216" t="s">
        <v>35</v>
      </c>
      <c r="B112" s="232"/>
      <c r="C112" s="118">
        <f>SUM(C108:C111)</f>
        <v>227.37421778771545</v>
      </c>
      <c r="D112" s="52"/>
    </row>
    <row r="113" spans="1:5" ht="15.75">
      <c r="A113" s="52"/>
      <c r="B113" s="52"/>
      <c r="C113" s="52"/>
      <c r="D113" s="52"/>
    </row>
    <row r="114" spans="1:5" ht="15.75">
      <c r="A114" s="231" t="s">
        <v>59</v>
      </c>
      <c r="B114" s="231"/>
      <c r="C114" s="231"/>
      <c r="D114" s="231"/>
      <c r="E114" s="120"/>
    </row>
    <row r="115" spans="1:5" ht="16.5" thickBot="1">
      <c r="A115" s="52"/>
      <c r="B115" s="52"/>
      <c r="C115" s="52"/>
      <c r="D115" s="52"/>
      <c r="E115" s="120"/>
    </row>
    <row r="116" spans="1:5" ht="16.5" thickBot="1">
      <c r="A116" s="56">
        <v>6</v>
      </c>
      <c r="B116" s="119" t="s">
        <v>6</v>
      </c>
      <c r="C116" s="57" t="s">
        <v>29</v>
      </c>
      <c r="D116" s="121" t="s">
        <v>11</v>
      </c>
      <c r="E116" s="122"/>
    </row>
    <row r="117" spans="1:5" ht="16.5" thickBot="1">
      <c r="A117" s="58" t="s">
        <v>12</v>
      </c>
      <c r="B117" s="4" t="s">
        <v>7</v>
      </c>
      <c r="C117" s="110">
        <v>0.05</v>
      </c>
      <c r="D117" s="123">
        <f>$C$134*C117</f>
        <v>321.94150613263912</v>
      </c>
      <c r="E117" s="124"/>
    </row>
    <row r="118" spans="1:5" ht="16.5" thickBot="1">
      <c r="A118" s="58" t="s">
        <v>14</v>
      </c>
      <c r="B118" s="4" t="s">
        <v>8</v>
      </c>
      <c r="C118" s="110">
        <v>6.7900000000000002E-2</v>
      </c>
      <c r="D118" s="123">
        <f>($C$134+$D$117)*C118</f>
        <v>459.05639359453011</v>
      </c>
      <c r="E118" s="124"/>
    </row>
    <row r="119" spans="1:5" ht="16.5" thickBot="1">
      <c r="A119" s="58" t="s">
        <v>16</v>
      </c>
      <c r="B119" s="4" t="s">
        <v>75</v>
      </c>
      <c r="C119" s="125">
        <f>C120+C121+C122</f>
        <v>8.6529999999999996E-2</v>
      </c>
      <c r="D119" s="123"/>
      <c r="E119" s="124"/>
    </row>
    <row r="120" spans="1:5" ht="16.5" thickBot="1">
      <c r="A120" s="58"/>
      <c r="B120" s="4" t="s">
        <v>73</v>
      </c>
      <c r="C120" s="110">
        <v>6.5300000000000002E-3</v>
      </c>
      <c r="D120" s="126">
        <f>(($C$134+$D$117+$D$118)/1-$C$119)*C120</f>
        <v>47.144911945241084</v>
      </c>
      <c r="E120" s="120"/>
    </row>
    <row r="121" spans="1:5" ht="16.5" thickBot="1">
      <c r="A121" s="58"/>
      <c r="B121" s="4" t="s">
        <v>74</v>
      </c>
      <c r="C121" s="127">
        <v>0.03</v>
      </c>
      <c r="D121" s="126">
        <f>(($C$134+$D$117+$D$118)/1-$C$119)*C121</f>
        <v>216.59224477139853</v>
      </c>
      <c r="E121" s="120"/>
    </row>
    <row r="122" spans="1:5" ht="16.5" thickBot="1">
      <c r="A122" s="58"/>
      <c r="B122" s="4" t="s">
        <v>60</v>
      </c>
      <c r="C122" s="110">
        <v>0.05</v>
      </c>
      <c r="D122" s="128">
        <f>(($C$134+$D$117+$D$118)/1-$C$119)*C122</f>
        <v>360.98707461899761</v>
      </c>
    </row>
    <row r="123" spans="1:5" ht="16.5" thickBot="1">
      <c r="A123" s="216" t="s">
        <v>35</v>
      </c>
      <c r="B123" s="232"/>
      <c r="C123" s="129">
        <f>SUM(C117:C122)-C119</f>
        <v>0.20443</v>
      </c>
      <c r="D123" s="118">
        <f>SUM(D117:D122)</f>
        <v>1405.7221310628065</v>
      </c>
      <c r="E123" s="61"/>
    </row>
    <row r="124" spans="1:5" ht="15.75">
      <c r="A124" s="130"/>
      <c r="B124" s="130"/>
      <c r="C124" s="131"/>
      <c r="D124" s="132"/>
      <c r="E124" s="61"/>
    </row>
    <row r="125" spans="1:5" ht="15.75">
      <c r="A125" s="133"/>
      <c r="B125" s="134"/>
      <c r="C125" s="135"/>
      <c r="D125" s="136"/>
    </row>
    <row r="126" spans="1:5" ht="15.75">
      <c r="A126" s="231" t="s">
        <v>61</v>
      </c>
      <c r="B126" s="231"/>
      <c r="C126" s="231"/>
      <c r="D126" s="52"/>
    </row>
    <row r="127" spans="1:5" ht="16.5" thickBot="1">
      <c r="A127" s="52"/>
      <c r="B127" s="52"/>
      <c r="C127" s="52"/>
      <c r="D127" s="52"/>
    </row>
    <row r="128" spans="1:5" ht="32.25" thickBot="1">
      <c r="A128" s="56"/>
      <c r="B128" s="57" t="s">
        <v>62</v>
      </c>
      <c r="C128" s="57" t="s">
        <v>11</v>
      </c>
      <c r="D128" s="52"/>
      <c r="E128" s="137"/>
    </row>
    <row r="129" spans="1:5" ht="16.5" thickBot="1">
      <c r="A129" s="138" t="s">
        <v>12</v>
      </c>
      <c r="B129" s="4" t="s">
        <v>9</v>
      </c>
      <c r="C129" s="139">
        <f>D19</f>
        <v>3057.6260000000002</v>
      </c>
      <c r="D129" s="52"/>
      <c r="E129" s="61"/>
    </row>
    <row r="130" spans="1:5" ht="16.5" thickBot="1">
      <c r="A130" s="138" t="s">
        <v>14</v>
      </c>
      <c r="B130" s="4" t="s">
        <v>22</v>
      </c>
      <c r="C130" s="139">
        <f>C65</f>
        <v>2513.0591700572259</v>
      </c>
      <c r="D130" s="52"/>
    </row>
    <row r="131" spans="1:5" ht="16.5" thickBot="1">
      <c r="A131" s="138" t="s">
        <v>16</v>
      </c>
      <c r="B131" s="4" t="s">
        <v>41</v>
      </c>
      <c r="C131" s="139">
        <f>D76+0.05</f>
        <v>217.91849068746671</v>
      </c>
      <c r="D131" s="52"/>
    </row>
    <row r="132" spans="1:5" ht="16.5" thickBot="1">
      <c r="A132" s="138" t="s">
        <v>17</v>
      </c>
      <c r="B132" s="4" t="s">
        <v>48</v>
      </c>
      <c r="C132" s="139">
        <f>C102</f>
        <v>422.85224412037343</v>
      </c>
      <c r="D132" s="52"/>
    </row>
    <row r="133" spans="1:5" ht="16.5" thickBot="1">
      <c r="A133" s="138" t="s">
        <v>18</v>
      </c>
      <c r="B133" s="4" t="s">
        <v>57</v>
      </c>
      <c r="C133" s="139">
        <f>C112</f>
        <v>227.37421778771545</v>
      </c>
      <c r="D133" s="52"/>
    </row>
    <row r="134" spans="1:5" ht="16.5" thickBot="1">
      <c r="A134" s="216" t="s">
        <v>63</v>
      </c>
      <c r="B134" s="232"/>
      <c r="C134" s="140">
        <f>SUM(C129:C133)</f>
        <v>6438.8301226527819</v>
      </c>
      <c r="D134" s="141"/>
    </row>
    <row r="135" spans="1:5" ht="16.5" thickBot="1">
      <c r="A135" s="138" t="s">
        <v>20</v>
      </c>
      <c r="B135" s="4" t="s">
        <v>64</v>
      </c>
      <c r="C135" s="139">
        <f>D123</f>
        <v>1405.7221310628065</v>
      </c>
      <c r="D135" s="52"/>
    </row>
    <row r="136" spans="1:5" ht="16.5" thickBot="1">
      <c r="A136" s="138"/>
      <c r="B136" s="4"/>
      <c r="C136" s="139"/>
      <c r="D136" s="52"/>
    </row>
    <row r="137" spans="1:5" ht="16.5" thickBot="1">
      <c r="A137" s="216" t="s">
        <v>65</v>
      </c>
      <c r="B137" s="232"/>
      <c r="C137" s="140">
        <f>SUM(C134:C136)</f>
        <v>7844.5522537155884</v>
      </c>
      <c r="D137" s="59"/>
      <c r="E137" s="61"/>
    </row>
    <row r="138" spans="1:5">
      <c r="E138" s="61"/>
    </row>
  </sheetData>
  <mergeCells count="43">
    <mergeCell ref="A126:C126"/>
    <mergeCell ref="A134:B134"/>
    <mergeCell ref="A137:B137"/>
    <mergeCell ref="A80:D80"/>
    <mergeCell ref="A89:B89"/>
    <mergeCell ref="A91:D91"/>
    <mergeCell ref="A95:B95"/>
    <mergeCell ref="A97:C97"/>
    <mergeCell ref="A102:B102"/>
    <mergeCell ref="A105:C105"/>
    <mergeCell ref="A112:B112"/>
    <mergeCell ref="A114:D114"/>
    <mergeCell ref="A123:B123"/>
    <mergeCell ref="A78:D78"/>
    <mergeCell ref="A25:D25"/>
    <mergeCell ref="A30:B30"/>
    <mergeCell ref="A32:D32"/>
    <mergeCell ref="A43:B43"/>
    <mergeCell ref="A45:D45"/>
    <mergeCell ref="A57:B57"/>
    <mergeCell ref="A59:C59"/>
    <mergeCell ref="A65:B65"/>
    <mergeCell ref="A67:D67"/>
    <mergeCell ref="A68:D68"/>
    <mergeCell ref="A76:B76"/>
    <mergeCell ref="A23:D23"/>
    <mergeCell ref="A9:D9"/>
    <mergeCell ref="B11:C11"/>
    <mergeCell ref="B12:C12"/>
    <mergeCell ref="B13:C13"/>
    <mergeCell ref="B14:C14"/>
    <mergeCell ref="B15:C15"/>
    <mergeCell ref="B16:C16"/>
    <mergeCell ref="B17:C17"/>
    <mergeCell ref="B18:C18"/>
    <mergeCell ref="A19:C19"/>
    <mergeCell ref="A20:C20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8" max="16383" man="1"/>
    <brk id="11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6"/>
  <sheetViews>
    <sheetView view="pageBreakPreview" zoomScaleSheetLayoutView="100" workbookViewId="0">
      <selection activeCell="B14" sqref="B14:C14"/>
    </sheetView>
  </sheetViews>
  <sheetFormatPr defaultColWidth="8.85546875" defaultRowHeight="15"/>
  <cols>
    <col min="1" max="1" width="8.85546875" style="55"/>
    <col min="2" max="2" width="61.7109375" style="55" customWidth="1"/>
    <col min="3" max="3" width="17.7109375" style="55" customWidth="1"/>
    <col min="4" max="4" width="15.7109375" style="55" customWidth="1"/>
    <col min="5" max="5" width="41.5703125" style="55" customWidth="1"/>
    <col min="6" max="6" width="9.5703125" style="55" bestFit="1" customWidth="1"/>
    <col min="7" max="16384" width="8.85546875" style="55"/>
  </cols>
  <sheetData>
    <row r="1" spans="1:6" ht="15.75">
      <c r="A1" s="52"/>
      <c r="B1" s="52"/>
      <c r="C1" s="52"/>
      <c r="D1" s="52"/>
    </row>
    <row r="2" spans="1:6" ht="15" customHeight="1">
      <c r="A2" s="209" t="s">
        <v>76</v>
      </c>
      <c r="B2" s="210"/>
      <c r="C2" s="210"/>
      <c r="D2" s="211"/>
    </row>
    <row r="3" spans="1:6" ht="15" customHeight="1">
      <c r="A3" s="212" t="s">
        <v>145</v>
      </c>
      <c r="B3" s="213"/>
      <c r="C3" s="213"/>
      <c r="D3" s="214"/>
    </row>
    <row r="4" spans="1:6" ht="15" customHeight="1">
      <c r="A4" s="207" t="str">
        <f>'VA Dia'!A4</f>
        <v>AM000057/2024</v>
      </c>
      <c r="B4" s="208"/>
      <c r="C4" s="3" t="s">
        <v>77</v>
      </c>
      <c r="D4" s="2">
        <f>'VA Dia'!D4</f>
        <v>45323</v>
      </c>
    </row>
    <row r="5" spans="1:6" ht="15" customHeight="1">
      <c r="A5" s="207" t="s">
        <v>248</v>
      </c>
      <c r="B5" s="208"/>
      <c r="C5" s="3" t="s">
        <v>87</v>
      </c>
      <c r="D5" s="49">
        <v>5173</v>
      </c>
    </row>
    <row r="6" spans="1:6">
      <c r="A6" s="207" t="s">
        <v>79</v>
      </c>
      <c r="B6" s="208"/>
      <c r="C6" s="3" t="s">
        <v>80</v>
      </c>
      <c r="D6" s="50">
        <v>1</v>
      </c>
    </row>
    <row r="7" spans="1:6">
      <c r="A7" s="207" t="s">
        <v>81</v>
      </c>
      <c r="B7" s="208"/>
      <c r="C7" s="3" t="s">
        <v>82</v>
      </c>
      <c r="D7" s="51" t="s">
        <v>83</v>
      </c>
    </row>
    <row r="8" spans="1:6" ht="15.75">
      <c r="A8" s="52"/>
      <c r="B8" s="52"/>
      <c r="C8" s="52"/>
      <c r="D8" s="52"/>
    </row>
    <row r="9" spans="1:6" ht="15.75">
      <c r="A9" s="215" t="s">
        <v>9</v>
      </c>
      <c r="B9" s="215"/>
      <c r="C9" s="215"/>
      <c r="D9" s="215"/>
    </row>
    <row r="10" spans="1:6" ht="16.5" thickBot="1">
      <c r="A10" s="52"/>
      <c r="B10" s="52"/>
      <c r="C10" s="52"/>
      <c r="D10" s="52"/>
    </row>
    <row r="11" spans="1:6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6" ht="16.5" thickBot="1">
      <c r="A12" s="58" t="s">
        <v>12</v>
      </c>
      <c r="B12" s="218" t="s">
        <v>13</v>
      </c>
      <c r="C12" s="219"/>
      <c r="D12" s="53">
        <f>CCT!C36</f>
        <v>2352.02</v>
      </c>
      <c r="E12" s="59"/>
      <c r="F12" s="142"/>
    </row>
    <row r="13" spans="1:6" ht="16.5" thickBot="1">
      <c r="A13" s="58" t="s">
        <v>14</v>
      </c>
      <c r="B13" s="218" t="s">
        <v>144</v>
      </c>
      <c r="C13" s="219"/>
      <c r="D13" s="54">
        <v>0</v>
      </c>
      <c r="E13" s="59"/>
      <c r="F13" s="142"/>
    </row>
    <row r="14" spans="1:6" ht="16.5" thickBot="1">
      <c r="A14" s="58" t="s">
        <v>16</v>
      </c>
      <c r="B14" s="218" t="s">
        <v>15</v>
      </c>
      <c r="C14" s="219"/>
      <c r="D14" s="54">
        <f>$D$12*0.3</f>
        <v>705.60599999999999</v>
      </c>
      <c r="E14" s="59"/>
    </row>
    <row r="15" spans="1:6" ht="16.5" thickBot="1">
      <c r="A15" s="58" t="s">
        <v>17</v>
      </c>
      <c r="B15" s="218" t="s">
        <v>0</v>
      </c>
      <c r="C15" s="219"/>
      <c r="D15" s="14">
        <f>(($D$12+$D$14)/192*0.2*8*16)</f>
        <v>407.68346666666673</v>
      </c>
      <c r="E15" s="59"/>
    </row>
    <row r="16" spans="1:6" ht="16.5" customHeight="1" thickBot="1">
      <c r="A16" s="58" t="s">
        <v>18</v>
      </c>
      <c r="B16" s="218" t="s">
        <v>19</v>
      </c>
      <c r="C16" s="219"/>
      <c r="D16" s="14">
        <f>((($D$12+$D$14+$D$15)/192*1.5)*16)</f>
        <v>433.16368333333344</v>
      </c>
      <c r="E16" s="59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9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3898.4731500000007</v>
      </c>
      <c r="E19" s="60"/>
    </row>
    <row r="20" spans="1:5" ht="16.5" thickBot="1">
      <c r="A20" s="220" t="s">
        <v>149</v>
      </c>
      <c r="B20" s="221"/>
      <c r="C20" s="222"/>
      <c r="D20" s="18">
        <f>D19-D18</f>
        <v>3898.4731500000007</v>
      </c>
      <c r="E20" s="59"/>
    </row>
    <row r="21" spans="1:5" ht="15.75">
      <c r="A21" s="52"/>
      <c r="B21" s="52"/>
      <c r="C21" s="52"/>
      <c r="D21" s="59">
        <f>D20-D19</f>
        <v>0</v>
      </c>
    </row>
    <row r="22" spans="1:5" ht="15.75">
      <c r="A22" s="52"/>
      <c r="B22" s="52"/>
      <c r="C22" s="52"/>
      <c r="D22" s="52"/>
    </row>
    <row r="23" spans="1:5" ht="15.75">
      <c r="A23" s="215" t="s">
        <v>22</v>
      </c>
      <c r="B23" s="215"/>
      <c r="C23" s="215"/>
      <c r="D23" s="215"/>
    </row>
    <row r="24" spans="1:5" ht="15.75">
      <c r="A24" s="62"/>
      <c r="B24" s="52"/>
      <c r="C24" s="52"/>
      <c r="D24" s="52"/>
    </row>
    <row r="25" spans="1:5" ht="15.75">
      <c r="A25" s="223" t="s">
        <v>23</v>
      </c>
      <c r="B25" s="223"/>
      <c r="C25" s="223"/>
      <c r="D25" s="223"/>
    </row>
    <row r="26" spans="1:5" ht="16.5" thickBot="1">
      <c r="A26" s="52"/>
      <c r="B26" s="63" t="s">
        <v>71</v>
      </c>
      <c r="C26" s="52"/>
      <c r="D26" s="52"/>
    </row>
    <row r="27" spans="1:5" ht="16.5" thickBot="1">
      <c r="A27" s="56" t="s">
        <v>24</v>
      </c>
      <c r="B27" s="57" t="s">
        <v>25</v>
      </c>
      <c r="C27" s="56" t="s">
        <v>72</v>
      </c>
      <c r="D27" s="57" t="s">
        <v>11</v>
      </c>
      <c r="E27" s="52"/>
    </row>
    <row r="28" spans="1:5" ht="16.5" thickBot="1">
      <c r="A28" s="58" t="s">
        <v>12</v>
      </c>
      <c r="B28" s="4" t="s">
        <v>245</v>
      </c>
      <c r="C28" s="64">
        <v>8.3333329999999997E-2</v>
      </c>
      <c r="D28" s="65">
        <f>D20*C28</f>
        <v>324.87274950508953</v>
      </c>
      <c r="E28" s="59"/>
    </row>
    <row r="29" spans="1:5" ht="16.5" thickBot="1">
      <c r="A29" s="58" t="s">
        <v>14</v>
      </c>
      <c r="B29" s="4" t="s">
        <v>148</v>
      </c>
      <c r="C29" s="66">
        <f>((1/12)+(1/3/12))</f>
        <v>0.1111111111111111</v>
      </c>
      <c r="D29" s="65">
        <f>D20*C29</f>
        <v>433.16368333333338</v>
      </c>
      <c r="E29" s="59"/>
    </row>
    <row r="30" spans="1:5" ht="16.5" thickBot="1">
      <c r="A30" s="220" t="s">
        <v>1</v>
      </c>
      <c r="B30" s="224"/>
      <c r="C30" s="67">
        <f>SUM(C28:C29)</f>
        <v>0.19444444111111109</v>
      </c>
      <c r="D30" s="68">
        <f>SUM(D28:D29)</f>
        <v>758.03643283842291</v>
      </c>
      <c r="E30" s="52"/>
    </row>
    <row r="31" spans="1:5" ht="15.75">
      <c r="A31" s="52"/>
      <c r="B31" s="52"/>
      <c r="C31" s="52"/>
      <c r="D31" s="52"/>
    </row>
    <row r="32" spans="1:5" ht="15.75">
      <c r="A32" s="225" t="s">
        <v>26</v>
      </c>
      <c r="B32" s="225"/>
      <c r="C32" s="225"/>
      <c r="D32" s="225"/>
    </row>
    <row r="33" spans="1:5" ht="16.5" thickBot="1">
      <c r="A33" s="52"/>
      <c r="B33" s="63" t="s">
        <v>70</v>
      </c>
      <c r="C33" s="52"/>
      <c r="D33" s="52"/>
    </row>
    <row r="34" spans="1:5" ht="16.5" thickBot="1">
      <c r="A34" s="56" t="s">
        <v>27</v>
      </c>
      <c r="B34" s="57" t="s">
        <v>28</v>
      </c>
      <c r="C34" s="57" t="s">
        <v>29</v>
      </c>
      <c r="D34" s="57" t="s">
        <v>11</v>
      </c>
    </row>
    <row r="35" spans="1:5" ht="16.5" thickBot="1">
      <c r="A35" s="58" t="s">
        <v>12</v>
      </c>
      <c r="B35" s="4" t="s">
        <v>30</v>
      </c>
      <c r="C35" s="69">
        <v>0.2</v>
      </c>
      <c r="D35" s="65">
        <f>($D$20+$D$30)*C35</f>
        <v>931.30191656768477</v>
      </c>
    </row>
    <row r="36" spans="1:5" ht="14.25" customHeight="1" thickBot="1">
      <c r="A36" s="58" t="s">
        <v>14</v>
      </c>
      <c r="B36" s="4" t="s">
        <v>31</v>
      </c>
      <c r="C36" s="69">
        <v>2.5000000000000001E-2</v>
      </c>
      <c r="D36" s="65">
        <f t="shared" ref="D36:D42" si="0">($D$20+$D$30)*C36</f>
        <v>116.4127395709606</v>
      </c>
      <c r="E36" s="143"/>
    </row>
    <row r="37" spans="1:5" ht="16.5" thickBot="1">
      <c r="A37" s="58" t="s">
        <v>16</v>
      </c>
      <c r="B37" s="4" t="s">
        <v>67</v>
      </c>
      <c r="C37" s="69">
        <v>0.03</v>
      </c>
      <c r="D37" s="65">
        <f t="shared" si="0"/>
        <v>139.6952874851527</v>
      </c>
    </row>
    <row r="38" spans="1:5" ht="16.5" thickBot="1">
      <c r="A38" s="58" t="s">
        <v>17</v>
      </c>
      <c r="B38" s="4" t="s">
        <v>32</v>
      </c>
      <c r="C38" s="69">
        <v>1.4999999999999999E-2</v>
      </c>
      <c r="D38" s="65">
        <f t="shared" si="0"/>
        <v>69.847643742576352</v>
      </c>
    </row>
    <row r="39" spans="1:5" ht="16.5" thickBot="1">
      <c r="A39" s="58" t="s">
        <v>18</v>
      </c>
      <c r="B39" s="4" t="s">
        <v>33</v>
      </c>
      <c r="C39" s="69">
        <v>0.01</v>
      </c>
      <c r="D39" s="65">
        <f t="shared" si="0"/>
        <v>46.565095828384237</v>
      </c>
    </row>
    <row r="40" spans="1:5" ht="16.5" thickBot="1">
      <c r="A40" s="58" t="s">
        <v>20</v>
      </c>
      <c r="B40" s="4" t="s">
        <v>2</v>
      </c>
      <c r="C40" s="69">
        <v>6.0000000000000001E-3</v>
      </c>
      <c r="D40" s="65">
        <f t="shared" si="0"/>
        <v>27.939057497030543</v>
      </c>
      <c r="E40" s="143"/>
    </row>
    <row r="41" spans="1:5" ht="16.5" thickBot="1">
      <c r="A41" s="58" t="s">
        <v>21</v>
      </c>
      <c r="B41" s="4" t="s">
        <v>3</v>
      </c>
      <c r="C41" s="69">
        <v>2E-3</v>
      </c>
      <c r="D41" s="65">
        <f t="shared" si="0"/>
        <v>9.3130191656768471</v>
      </c>
      <c r="E41" s="143"/>
    </row>
    <row r="42" spans="1:5" ht="15.75" customHeight="1" thickBot="1">
      <c r="A42" s="58" t="s">
        <v>34</v>
      </c>
      <c r="B42" s="4" t="s">
        <v>4</v>
      </c>
      <c r="C42" s="69">
        <v>0.08</v>
      </c>
      <c r="D42" s="65">
        <f t="shared" si="0"/>
        <v>372.5207666270739</v>
      </c>
      <c r="E42" s="144"/>
    </row>
    <row r="43" spans="1:5" ht="16.5" thickBot="1">
      <c r="A43" s="220" t="s">
        <v>35</v>
      </c>
      <c r="B43" s="224"/>
      <c r="C43" s="73">
        <f>SUM(C35:C42)</f>
        <v>0.36800000000000005</v>
      </c>
      <c r="D43" s="68">
        <f>SUM(D35:D42)</f>
        <v>1713.59552648454</v>
      </c>
    </row>
    <row r="44" spans="1:5" ht="15.75">
      <c r="A44" s="52"/>
      <c r="B44" s="52"/>
      <c r="C44" s="52"/>
      <c r="D44" s="52"/>
    </row>
    <row r="45" spans="1:5" ht="15.75">
      <c r="A45" s="223" t="s">
        <v>36</v>
      </c>
      <c r="B45" s="223"/>
      <c r="C45" s="223"/>
      <c r="D45" s="223"/>
    </row>
    <row r="46" spans="1:5" ht="16.5" thickBot="1">
      <c r="A46" s="52"/>
      <c r="B46" s="63" t="s">
        <v>69</v>
      </c>
      <c r="C46" s="52"/>
      <c r="D46" s="52"/>
    </row>
    <row r="47" spans="1:5" ht="16.5" thickBot="1">
      <c r="A47" s="56" t="s">
        <v>37</v>
      </c>
      <c r="B47" s="57" t="s">
        <v>38</v>
      </c>
      <c r="C47" s="74" t="s">
        <v>232</v>
      </c>
      <c r="D47" s="57" t="s">
        <v>11</v>
      </c>
      <c r="E47" s="52"/>
    </row>
    <row r="48" spans="1:5" ht="16.5" thickBot="1">
      <c r="A48" s="58" t="s">
        <v>12</v>
      </c>
      <c r="B48" s="4" t="s">
        <v>228</v>
      </c>
      <c r="C48" s="75" t="s">
        <v>154</v>
      </c>
      <c r="D48" s="54">
        <f>'VA Dia'!D48</f>
        <v>135</v>
      </c>
      <c r="E48" s="52"/>
    </row>
    <row r="49" spans="1:5" ht="18" customHeight="1" thickBot="1">
      <c r="A49" s="58"/>
      <c r="B49" s="4" t="s">
        <v>68</v>
      </c>
      <c r="C49" s="78">
        <v>0.06</v>
      </c>
      <c r="D49" s="76">
        <f>-(C49*D12)</f>
        <v>-141.12119999999999</v>
      </c>
      <c r="E49" s="52"/>
    </row>
    <row r="50" spans="1:5" ht="16.5" thickBot="1">
      <c r="A50" s="58" t="s">
        <v>14</v>
      </c>
      <c r="B50" s="4" t="s">
        <v>233</v>
      </c>
      <c r="C50" s="75" t="str">
        <f>'VA Dia'!C50</f>
        <v>R$31,20*15</v>
      </c>
      <c r="D50" s="76">
        <f>15*CCT!C30</f>
        <v>468</v>
      </c>
      <c r="E50" s="52"/>
    </row>
    <row r="51" spans="1:5" ht="16.5" thickBot="1">
      <c r="A51" s="58"/>
      <c r="B51" s="4" t="s">
        <v>151</v>
      </c>
      <c r="C51" s="78">
        <f>CCT!D30</f>
        <v>0.05</v>
      </c>
      <c r="D51" s="54">
        <f>-C51*D50</f>
        <v>-23.400000000000002</v>
      </c>
      <c r="E51" s="52"/>
    </row>
    <row r="52" spans="1:5" ht="16.5" thickBot="1">
      <c r="A52" s="79" t="s">
        <v>16</v>
      </c>
      <c r="B52" s="80" t="s">
        <v>125</v>
      </c>
      <c r="C52" s="4"/>
      <c r="D52" s="54">
        <v>0</v>
      </c>
      <c r="E52" s="52"/>
    </row>
    <row r="53" spans="1:5" ht="16.5" thickBot="1">
      <c r="A53" s="58" t="s">
        <v>17</v>
      </c>
      <c r="B53" s="4" t="s">
        <v>235</v>
      </c>
      <c r="C53" s="145"/>
      <c r="D53" s="82">
        <f>CCT!C32</f>
        <v>136.88999999999999</v>
      </c>
      <c r="E53" s="83"/>
    </row>
    <row r="54" spans="1:5" ht="16.5" thickBot="1">
      <c r="A54" s="58"/>
      <c r="B54" s="4" t="s">
        <v>152</v>
      </c>
      <c r="C54" s="84">
        <f>CCT!D32</f>
        <v>0.05</v>
      </c>
      <c r="D54" s="54">
        <f>-CCT!C32*CCT!D32</f>
        <v>-6.8445</v>
      </c>
      <c r="E54" s="83"/>
    </row>
    <row r="55" spans="1:5" ht="16.5" thickBot="1">
      <c r="A55" s="58" t="s">
        <v>18</v>
      </c>
      <c r="B55" s="4" t="s">
        <v>197</v>
      </c>
      <c r="C55" s="4"/>
      <c r="D55" s="81">
        <f>CCT!C33</f>
        <v>12</v>
      </c>
      <c r="E55" s="52"/>
    </row>
    <row r="56" spans="1:5" ht="16.5" thickBot="1">
      <c r="A56" s="58" t="s">
        <v>20</v>
      </c>
      <c r="B56" s="4" t="s">
        <v>239</v>
      </c>
      <c r="C56" s="86">
        <f>CCT!D33</f>
        <v>0.5</v>
      </c>
      <c r="D56" s="54">
        <f>-C56*D55</f>
        <v>-6</v>
      </c>
      <c r="E56" s="52"/>
    </row>
    <row r="57" spans="1:5" ht="16.5" thickBot="1">
      <c r="A57" s="220" t="s">
        <v>1</v>
      </c>
      <c r="B57" s="224"/>
      <c r="C57" s="87"/>
      <c r="D57" s="18">
        <f>SUM(D48:D56)</f>
        <v>574.52429999999993</v>
      </c>
      <c r="E57" s="52"/>
    </row>
    <row r="58" spans="1:5" ht="15.75">
      <c r="A58" s="52"/>
      <c r="B58" s="52"/>
      <c r="C58" s="52"/>
      <c r="D58" s="52"/>
    </row>
    <row r="59" spans="1:5" ht="15.75">
      <c r="A59" s="223" t="s">
        <v>39</v>
      </c>
      <c r="B59" s="223"/>
      <c r="C59" s="223"/>
      <c r="D59" s="52"/>
    </row>
    <row r="60" spans="1:5" ht="16.5" thickBot="1">
      <c r="A60" s="52"/>
      <c r="B60" s="88" t="s">
        <v>246</v>
      </c>
      <c r="C60" s="52"/>
      <c r="D60" s="52"/>
    </row>
    <row r="61" spans="1:5" ht="16.5" thickBot="1">
      <c r="A61" s="56">
        <v>2</v>
      </c>
      <c r="B61" s="57" t="s">
        <v>40</v>
      </c>
      <c r="C61" s="57" t="s">
        <v>11</v>
      </c>
      <c r="D61" s="52"/>
    </row>
    <row r="62" spans="1:5" ht="16.5" thickBot="1">
      <c r="A62" s="58" t="s">
        <v>24</v>
      </c>
      <c r="B62" s="4" t="s">
        <v>25</v>
      </c>
      <c r="C62" s="65">
        <f>D30</f>
        <v>758.03643283842291</v>
      </c>
      <c r="D62" s="52"/>
    </row>
    <row r="63" spans="1:5" ht="16.5" thickBot="1">
      <c r="A63" s="58" t="s">
        <v>27</v>
      </c>
      <c r="B63" s="4" t="s">
        <v>28</v>
      </c>
      <c r="C63" s="65">
        <f>D43</f>
        <v>1713.59552648454</v>
      </c>
      <c r="D63" s="52"/>
    </row>
    <row r="64" spans="1:5" ht="16.5" thickBot="1">
      <c r="A64" s="58" t="s">
        <v>37</v>
      </c>
      <c r="B64" s="4" t="s">
        <v>38</v>
      </c>
      <c r="C64" s="65">
        <f>D57</f>
        <v>574.52429999999993</v>
      </c>
      <c r="D64" s="52"/>
    </row>
    <row r="65" spans="1:5" ht="16.5" thickBot="1">
      <c r="A65" s="226" t="s">
        <v>1</v>
      </c>
      <c r="B65" s="227"/>
      <c r="C65" s="89">
        <f>SUM(C62:C64)</f>
        <v>3046.1562593229628</v>
      </c>
      <c r="D65" s="52"/>
    </row>
    <row r="66" spans="1:5" ht="15.75">
      <c r="A66" s="90"/>
      <c r="B66" s="52"/>
      <c r="C66" s="52"/>
      <c r="D66" s="52"/>
    </row>
    <row r="67" spans="1:5" ht="15.75">
      <c r="A67" s="215" t="s">
        <v>41</v>
      </c>
      <c r="B67" s="215"/>
      <c r="C67" s="215"/>
      <c r="D67" s="215"/>
    </row>
    <row r="68" spans="1:5" ht="16.5" thickBot="1">
      <c r="A68" s="228" t="s">
        <v>142</v>
      </c>
      <c r="B68" s="228"/>
      <c r="C68" s="228"/>
      <c r="D68" s="228"/>
    </row>
    <row r="69" spans="1:5" ht="16.5" thickBot="1">
      <c r="A69" s="56">
        <v>3</v>
      </c>
      <c r="B69" s="57" t="s">
        <v>42</v>
      </c>
      <c r="C69" s="56" t="s">
        <v>72</v>
      </c>
      <c r="D69" s="56" t="s">
        <v>11</v>
      </c>
      <c r="E69" s="146"/>
    </row>
    <row r="70" spans="1:5" ht="16.5" thickBot="1">
      <c r="A70" s="58" t="s">
        <v>12</v>
      </c>
      <c r="B70" s="93" t="s">
        <v>43</v>
      </c>
      <c r="C70" s="94">
        <f>(100%*(1/12)*5%)*100%</f>
        <v>4.1666666666666666E-3</v>
      </c>
      <c r="D70" s="95">
        <f>C70*$D$20</f>
        <v>16.243638125000004</v>
      </c>
      <c r="E70" s="147"/>
    </row>
    <row r="71" spans="1:5" ht="16.5" thickBot="1">
      <c r="A71" s="58" t="s">
        <v>14</v>
      </c>
      <c r="B71" s="93" t="s">
        <v>44</v>
      </c>
      <c r="C71" s="97">
        <f>C70*C42</f>
        <v>3.3333333333333332E-4</v>
      </c>
      <c r="D71" s="95">
        <f t="shared" ref="D71:D75" si="1">C71*$D$20</f>
        <v>1.2994910500000001</v>
      </c>
      <c r="E71" s="147"/>
    </row>
    <row r="72" spans="1:5" ht="32.25" thickBot="1">
      <c r="A72" s="58" t="s">
        <v>16</v>
      </c>
      <c r="B72" s="93" t="s">
        <v>45</v>
      </c>
      <c r="C72" s="98">
        <f>C71*40%</f>
        <v>1.3333333333333334E-4</v>
      </c>
      <c r="D72" s="95">
        <f t="shared" si="1"/>
        <v>0.51979642000000015</v>
      </c>
      <c r="E72" s="52"/>
    </row>
    <row r="73" spans="1:5" ht="16.5" thickBot="1">
      <c r="A73" s="58" t="s">
        <v>17</v>
      </c>
      <c r="B73" s="93" t="s">
        <v>46</v>
      </c>
      <c r="C73" s="99">
        <f>((7/30)/12)</f>
        <v>1.9444444444444445E-2</v>
      </c>
      <c r="D73" s="95">
        <f t="shared" si="1"/>
        <v>75.803644583333352</v>
      </c>
      <c r="E73" s="52"/>
    </row>
    <row r="74" spans="1:5" ht="32.25" thickBot="1">
      <c r="A74" s="58" t="s">
        <v>18</v>
      </c>
      <c r="B74" s="93" t="s">
        <v>78</v>
      </c>
      <c r="C74" s="98">
        <f>C43*C73</f>
        <v>7.1555555555555565E-3</v>
      </c>
      <c r="D74" s="95">
        <f t="shared" si="1"/>
        <v>27.895741206666674</v>
      </c>
      <c r="E74" s="52"/>
    </row>
    <row r="75" spans="1:5" ht="32.25" thickBot="1">
      <c r="A75" s="58" t="s">
        <v>20</v>
      </c>
      <c r="B75" s="93" t="s">
        <v>47</v>
      </c>
      <c r="C75" s="98">
        <f>((100%+8.33%+11.11%)*8%*40%+0.18%)</f>
        <v>4.0020800000000002E-2</v>
      </c>
      <c r="D75" s="95">
        <f t="shared" si="1"/>
        <v>156.02001424152004</v>
      </c>
      <c r="E75" s="52"/>
    </row>
    <row r="76" spans="1:5" ht="16.5" thickBot="1">
      <c r="A76" s="229" t="s">
        <v>1</v>
      </c>
      <c r="B76" s="230"/>
      <c r="C76" s="100">
        <f>SUM(C70:C75)</f>
        <v>7.125413333333333E-2</v>
      </c>
      <c r="D76" s="148">
        <f>SUM(D70:D75)</f>
        <v>277.78232562652005</v>
      </c>
      <c r="E76" s="52"/>
    </row>
    <row r="77" spans="1:5" ht="15.75">
      <c r="A77" s="52"/>
      <c r="B77" s="52"/>
      <c r="C77" s="103"/>
      <c r="D77" s="52"/>
    </row>
    <row r="78" spans="1:5" ht="15.75">
      <c r="A78" s="215" t="s">
        <v>48</v>
      </c>
      <c r="B78" s="215"/>
      <c r="C78" s="215"/>
      <c r="D78" s="215"/>
    </row>
    <row r="79" spans="1:5">
      <c r="A79" s="233"/>
      <c r="B79" s="233"/>
      <c r="C79" s="233"/>
      <c r="D79" s="233"/>
    </row>
    <row r="80" spans="1:5" ht="15.75">
      <c r="A80" s="223" t="s">
        <v>49</v>
      </c>
      <c r="B80" s="223"/>
      <c r="C80" s="223"/>
      <c r="D80" s="223"/>
      <c r="E80" s="106" t="s">
        <v>176</v>
      </c>
    </row>
    <row r="81" spans="1:5" ht="12.6" customHeight="1" thickBot="1">
      <c r="D81" s="59"/>
    </row>
    <row r="82" spans="1:5" ht="16.5" thickBot="1">
      <c r="A82" s="56" t="s">
        <v>50</v>
      </c>
      <c r="B82" s="57" t="s">
        <v>51</v>
      </c>
      <c r="C82" s="56" t="s">
        <v>72</v>
      </c>
      <c r="D82" s="57" t="s">
        <v>11</v>
      </c>
      <c r="E82" s="52"/>
    </row>
    <row r="83" spans="1:5" ht="16.5" thickBot="1">
      <c r="A83" s="58" t="s">
        <v>12</v>
      </c>
      <c r="B83" s="4" t="s">
        <v>150</v>
      </c>
      <c r="C83" s="107">
        <f>((((1/12/12))+(((1/12/12)/3))*100%))</f>
        <v>9.2592592592592587E-3</v>
      </c>
      <c r="D83" s="65">
        <f>($D$20+$D$30+$D$43)*C83*0</f>
        <v>0</v>
      </c>
      <c r="E83" s="59"/>
    </row>
    <row r="84" spans="1:5" ht="16.5" thickBot="1">
      <c r="A84" s="58" t="s">
        <v>14</v>
      </c>
      <c r="B84" s="4" t="s">
        <v>137</v>
      </c>
      <c r="C84" s="107">
        <f>((2/30)/12)*100%</f>
        <v>5.5555555555555558E-3</v>
      </c>
      <c r="D84" s="65">
        <f t="shared" ref="D84:D87" si="2">($D$20+$D$30+$D$43)*C84</f>
        <v>35.389472829572021</v>
      </c>
      <c r="E84" s="52"/>
    </row>
    <row r="85" spans="1:5" ht="16.5" thickBot="1">
      <c r="A85" s="58" t="s">
        <v>16</v>
      </c>
      <c r="B85" s="4" t="s">
        <v>138</v>
      </c>
      <c r="C85" s="110">
        <f>(((5/30)/12)*0.015)*100%</f>
        <v>2.0833333333333332E-4</v>
      </c>
      <c r="D85" s="65">
        <f t="shared" si="2"/>
        <v>1.3271052311089506</v>
      </c>
      <c r="E85" s="109"/>
    </row>
    <row r="86" spans="1:5" ht="16.5" thickBot="1">
      <c r="A86" s="58" t="s">
        <v>18</v>
      </c>
      <c r="B86" s="4" t="s">
        <v>139</v>
      </c>
      <c r="C86" s="110">
        <f>(((15/30)/12)*0.08)*100%</f>
        <v>3.3333333333333331E-3</v>
      </c>
      <c r="D86" s="65">
        <f>($D$20+$D$30+$D$43)*C86</f>
        <v>21.23368369774321</v>
      </c>
      <c r="E86" s="52"/>
    </row>
    <row r="87" spans="1:5" ht="16.5" thickBot="1">
      <c r="A87" s="58" t="s">
        <v>17</v>
      </c>
      <c r="B87" s="111" t="s">
        <v>140</v>
      </c>
      <c r="C87" s="112">
        <f>((4/12)/12*0.02*100%)</f>
        <v>5.5555555555555556E-4</v>
      </c>
      <c r="D87" s="65">
        <f t="shared" si="2"/>
        <v>3.538947282957202</v>
      </c>
      <c r="E87" s="52"/>
    </row>
    <row r="88" spans="1:5" ht="16.5" thickBot="1">
      <c r="A88" s="58" t="s">
        <v>20</v>
      </c>
      <c r="B88" s="4" t="s">
        <v>141</v>
      </c>
      <c r="C88" s="110">
        <v>0</v>
      </c>
      <c r="D88" s="65">
        <f t="shared" ref="D88" si="3">$D$19*C88</f>
        <v>0</v>
      </c>
      <c r="E88" s="59"/>
    </row>
    <row r="89" spans="1:5" ht="16.5" thickBot="1">
      <c r="A89" s="216" t="s">
        <v>35</v>
      </c>
      <c r="B89" s="232"/>
      <c r="C89" s="113">
        <f>SUM(C83:C88)</f>
        <v>1.8912037037037036E-2</v>
      </c>
      <c r="D89" s="114">
        <f>SUM(D83:D88)</f>
        <v>61.489209041381386</v>
      </c>
      <c r="E89" s="52"/>
    </row>
    <row r="90" spans="1:5" ht="15.75">
      <c r="A90" s="52"/>
      <c r="B90" s="52"/>
      <c r="C90" s="52"/>
      <c r="D90" s="52"/>
    </row>
    <row r="91" spans="1:5" ht="15.75">
      <c r="A91" s="223" t="s">
        <v>52</v>
      </c>
      <c r="B91" s="223"/>
      <c r="C91" s="223"/>
      <c r="D91" s="223"/>
    </row>
    <row r="92" spans="1:5" ht="16.5" thickBot="1">
      <c r="A92" s="62"/>
      <c r="B92" s="52"/>
      <c r="C92" s="52"/>
      <c r="D92" s="52"/>
    </row>
    <row r="93" spans="1:5" ht="16.5" thickBot="1">
      <c r="A93" s="56" t="s">
        <v>53</v>
      </c>
      <c r="B93" s="57" t="s">
        <v>54</v>
      </c>
      <c r="C93" s="56" t="s">
        <v>72</v>
      </c>
      <c r="D93" s="57" t="s">
        <v>11</v>
      </c>
      <c r="E93" s="52"/>
    </row>
    <row r="94" spans="1:5" ht="16.5" thickBot="1">
      <c r="A94" s="58" t="s">
        <v>12</v>
      </c>
      <c r="B94" s="4" t="s">
        <v>66</v>
      </c>
      <c r="C94" s="115" t="s">
        <v>179</v>
      </c>
      <c r="D94" s="116">
        <f>(($D$20/180)*1.5)*15</f>
        <v>487.30914375000009</v>
      </c>
      <c r="E94" s="52"/>
    </row>
    <row r="95" spans="1:5" ht="16.5" thickBot="1">
      <c r="A95" s="216" t="s">
        <v>1</v>
      </c>
      <c r="B95" s="232"/>
      <c r="C95" s="117"/>
      <c r="D95" s="118">
        <f>SUM(D94)</f>
        <v>487.30914375000009</v>
      </c>
      <c r="E95" s="52"/>
    </row>
    <row r="96" spans="1:5" ht="15.75">
      <c r="A96" s="52"/>
      <c r="B96" s="52"/>
      <c r="C96" s="52"/>
      <c r="D96" s="52"/>
      <c r="E96" s="52"/>
    </row>
    <row r="97" spans="1:5" ht="15.75">
      <c r="A97" s="223" t="s">
        <v>55</v>
      </c>
      <c r="B97" s="223"/>
      <c r="C97" s="223"/>
    </row>
    <row r="98" spans="1:5" ht="16.5" thickBot="1">
      <c r="A98" s="62"/>
      <c r="B98" s="52"/>
      <c r="C98" s="52"/>
    </row>
    <row r="99" spans="1:5" ht="16.5" thickBot="1">
      <c r="A99" s="56">
        <v>4</v>
      </c>
      <c r="B99" s="57" t="s">
        <v>56</v>
      </c>
      <c r="C99" s="57" t="s">
        <v>11</v>
      </c>
      <c r="D99" s="52"/>
    </row>
    <row r="100" spans="1:5" ht="16.5" thickBot="1">
      <c r="A100" s="58" t="s">
        <v>50</v>
      </c>
      <c r="B100" s="4" t="s">
        <v>51</v>
      </c>
      <c r="C100" s="54">
        <f>D89</f>
        <v>61.489209041381386</v>
      </c>
      <c r="D100" s="52"/>
    </row>
    <row r="101" spans="1:5" ht="16.5" thickBot="1">
      <c r="A101" s="58" t="s">
        <v>53</v>
      </c>
      <c r="B101" s="4" t="s">
        <v>54</v>
      </c>
      <c r="C101" s="54">
        <f>D95</f>
        <v>487.30914375000009</v>
      </c>
      <c r="D101" s="52"/>
    </row>
    <row r="102" spans="1:5" ht="15.75" customHeight="1" thickBot="1">
      <c r="A102" s="216" t="s">
        <v>1</v>
      </c>
      <c r="B102" s="232"/>
      <c r="C102" s="118">
        <f>SUM(C100:C101)</f>
        <v>548.79835279138149</v>
      </c>
      <c r="D102" s="52"/>
    </row>
    <row r="103" spans="1:5" ht="15.75">
      <c r="A103" s="52"/>
      <c r="B103" s="52"/>
      <c r="C103" s="52"/>
      <c r="D103" s="52"/>
    </row>
    <row r="104" spans="1:5" ht="15.75">
      <c r="A104" s="231" t="s">
        <v>57</v>
      </c>
      <c r="B104" s="231"/>
      <c r="C104" s="231"/>
    </row>
    <row r="105" spans="1:5" ht="16.5" thickBot="1">
      <c r="A105" s="52"/>
      <c r="B105" s="52"/>
      <c r="C105" s="52"/>
    </row>
    <row r="106" spans="1:5" ht="16.5" thickBot="1">
      <c r="A106" s="56">
        <v>5</v>
      </c>
      <c r="B106" s="119" t="s">
        <v>5</v>
      </c>
      <c r="C106" s="57" t="s">
        <v>11</v>
      </c>
      <c r="D106" s="52"/>
    </row>
    <row r="107" spans="1:5" ht="16.5" thickBot="1">
      <c r="A107" s="58" t="s">
        <v>12</v>
      </c>
      <c r="B107" s="4" t="s">
        <v>58</v>
      </c>
      <c r="C107" s="54">
        <f>'VA Dia'!C108</f>
        <v>74.84</v>
      </c>
      <c r="D107" s="52"/>
    </row>
    <row r="108" spans="1:5" ht="16.5" thickBot="1">
      <c r="A108" s="58" t="s">
        <v>14</v>
      </c>
      <c r="B108" s="4" t="s">
        <v>126</v>
      </c>
      <c r="C108" s="54">
        <f>'VA Dia'!C109</f>
        <v>152.53421778771545</v>
      </c>
      <c r="D108" s="52"/>
    </row>
    <row r="109" spans="1:5" ht="16.5" thickBot="1">
      <c r="A109" s="58" t="s">
        <v>16</v>
      </c>
      <c r="B109" s="4" t="s">
        <v>127</v>
      </c>
      <c r="C109" s="14"/>
      <c r="E109" s="52"/>
    </row>
    <row r="110" spans="1:5" ht="16.5" thickBot="1">
      <c r="A110" s="58" t="s">
        <v>17</v>
      </c>
      <c r="B110" s="4" t="s">
        <v>84</v>
      </c>
      <c r="C110" s="54"/>
      <c r="D110" s="52"/>
    </row>
    <row r="111" spans="1:5" ht="16.5" thickBot="1">
      <c r="A111" s="216" t="s">
        <v>35</v>
      </c>
      <c r="B111" s="232"/>
      <c r="C111" s="118">
        <f>SUM(C107:C110)</f>
        <v>227.37421778771545</v>
      </c>
      <c r="D111" s="52"/>
    </row>
    <row r="112" spans="1:5" ht="15.75">
      <c r="A112" s="52"/>
      <c r="B112" s="52"/>
      <c r="C112" s="52"/>
      <c r="D112" s="52"/>
    </row>
    <row r="113" spans="1:5" ht="15.75">
      <c r="A113" s="231" t="s">
        <v>59</v>
      </c>
      <c r="B113" s="231"/>
      <c r="C113" s="231"/>
      <c r="D113" s="231"/>
    </row>
    <row r="114" spans="1:5" ht="16.5" thickBot="1">
      <c r="A114" s="52"/>
      <c r="B114" s="52"/>
      <c r="C114" s="52"/>
      <c r="D114" s="52"/>
    </row>
    <row r="115" spans="1:5" ht="16.5" thickBot="1">
      <c r="A115" s="56">
        <v>6</v>
      </c>
      <c r="B115" s="119" t="s">
        <v>6</v>
      </c>
      <c r="C115" s="57" t="s">
        <v>29</v>
      </c>
      <c r="D115" s="121" t="s">
        <v>11</v>
      </c>
      <c r="E115" s="122"/>
    </row>
    <row r="116" spans="1:5" ht="16.5" thickBot="1">
      <c r="A116" s="58" t="s">
        <v>12</v>
      </c>
      <c r="B116" s="4" t="s">
        <v>7</v>
      </c>
      <c r="C116" s="110">
        <f>'VA Dia'!C117</f>
        <v>0.05</v>
      </c>
      <c r="D116" s="123">
        <f>$C$133*C116</f>
        <v>399.92921527642903</v>
      </c>
      <c r="E116" s="124"/>
    </row>
    <row r="117" spans="1:5" ht="16.5" thickBot="1">
      <c r="A117" s="58" t="s">
        <v>14</v>
      </c>
      <c r="B117" s="4" t="s">
        <v>8</v>
      </c>
      <c r="C117" s="110">
        <f>'VA Dia'!C118</f>
        <v>6.7900000000000002E-2</v>
      </c>
      <c r="D117" s="123">
        <f>($C$133+$D$116)*C117</f>
        <v>570.25906806266016</v>
      </c>
      <c r="E117" s="124"/>
    </row>
    <row r="118" spans="1:5" ht="16.5" thickBot="1">
      <c r="A118" s="58" t="s">
        <v>16</v>
      </c>
      <c r="B118" s="4" t="s">
        <v>75</v>
      </c>
      <c r="C118" s="125">
        <f>C119+C120+C121</f>
        <v>8.6499999999999994E-2</v>
      </c>
      <c r="D118" s="123"/>
      <c r="E118" s="124"/>
    </row>
    <row r="119" spans="1:5" ht="16.5" thickBot="1">
      <c r="A119" s="58"/>
      <c r="B119" s="4" t="s">
        <v>73</v>
      </c>
      <c r="C119" s="110">
        <v>6.4999999999999997E-3</v>
      </c>
      <c r="D119" s="126">
        <f>(($C$133+$D$116+$D$117)/1-$C$118)*C119+0.14</f>
        <v>58.436459577639845</v>
      </c>
    </row>
    <row r="120" spans="1:5" ht="16.5" thickBot="1">
      <c r="A120" s="58"/>
      <c r="B120" s="4" t="s">
        <v>74</v>
      </c>
      <c r="C120" s="127">
        <v>0.03</v>
      </c>
      <c r="D120" s="126">
        <f>(($C$133+$D$116+$D$117)/1-$C$118)*C120</f>
        <v>269.06058266603009</v>
      </c>
    </row>
    <row r="121" spans="1:5" ht="16.5" thickBot="1">
      <c r="A121" s="58"/>
      <c r="B121" s="4" t="s">
        <v>60</v>
      </c>
      <c r="C121" s="110">
        <v>0.05</v>
      </c>
      <c r="D121" s="126">
        <f>(($C$133+$D$116+$D$117)/1-$C$118)*C121</f>
        <v>448.4343044433835</v>
      </c>
    </row>
    <row r="122" spans="1:5" ht="16.5" thickBot="1">
      <c r="A122" s="216" t="s">
        <v>35</v>
      </c>
      <c r="B122" s="232"/>
      <c r="C122" s="129">
        <f>SUM(C116:C121)-C118</f>
        <v>0.2044</v>
      </c>
      <c r="D122" s="118">
        <f>SUM(D116:D121)</f>
        <v>1746.1196300261427</v>
      </c>
    </row>
    <row r="123" spans="1:5" ht="15.75">
      <c r="A123" s="130"/>
      <c r="B123" s="130"/>
      <c r="C123" s="131"/>
      <c r="D123" s="132"/>
    </row>
    <row r="124" spans="1:5" ht="15.75">
      <c r="A124" s="133"/>
      <c r="B124" s="134"/>
      <c r="C124" s="135"/>
      <c r="D124" s="136"/>
      <c r="E124" s="136"/>
    </row>
    <row r="125" spans="1:5" ht="15.75">
      <c r="A125" s="231" t="s">
        <v>61</v>
      </c>
      <c r="B125" s="231"/>
      <c r="C125" s="231"/>
      <c r="D125" s="52"/>
    </row>
    <row r="126" spans="1:5" ht="16.5" thickBot="1">
      <c r="A126" s="52"/>
      <c r="B126" s="52"/>
      <c r="C126" s="52"/>
      <c r="D126" s="52"/>
    </row>
    <row r="127" spans="1:5" ht="32.25" thickBot="1">
      <c r="A127" s="56"/>
      <c r="B127" s="57" t="s">
        <v>62</v>
      </c>
      <c r="C127" s="57" t="s">
        <v>11</v>
      </c>
      <c r="D127" s="52"/>
      <c r="E127" s="137"/>
    </row>
    <row r="128" spans="1:5" ht="16.5" thickBot="1">
      <c r="A128" s="138" t="s">
        <v>12</v>
      </c>
      <c r="B128" s="4" t="s">
        <v>9</v>
      </c>
      <c r="C128" s="139">
        <f>D19</f>
        <v>3898.4731500000007</v>
      </c>
      <c r="D128" s="52"/>
      <c r="E128" s="61"/>
    </row>
    <row r="129" spans="1:4" ht="16.5" thickBot="1">
      <c r="A129" s="138" t="s">
        <v>14</v>
      </c>
      <c r="B129" s="4" t="s">
        <v>22</v>
      </c>
      <c r="C129" s="139">
        <f>C65</f>
        <v>3046.1562593229628</v>
      </c>
      <c r="D129" s="52"/>
    </row>
    <row r="130" spans="1:4" ht="16.5" thickBot="1">
      <c r="A130" s="138" t="s">
        <v>16</v>
      </c>
      <c r="B130" s="4" t="s">
        <v>41</v>
      </c>
      <c r="C130" s="139">
        <f>D76</f>
        <v>277.78232562652005</v>
      </c>
      <c r="D130" s="52"/>
    </row>
    <row r="131" spans="1:4" ht="16.5" thickBot="1">
      <c r="A131" s="138" t="s">
        <v>17</v>
      </c>
      <c r="B131" s="4" t="s">
        <v>48</v>
      </c>
      <c r="C131" s="139">
        <f>C102</f>
        <v>548.79835279138149</v>
      </c>
      <c r="D131" s="52"/>
    </row>
    <row r="132" spans="1:4" ht="16.5" thickBot="1">
      <c r="A132" s="138" t="s">
        <v>18</v>
      </c>
      <c r="B132" s="4" t="s">
        <v>57</v>
      </c>
      <c r="C132" s="139">
        <f>C111</f>
        <v>227.37421778771545</v>
      </c>
      <c r="D132" s="52"/>
    </row>
    <row r="133" spans="1:4" ht="16.5" thickBot="1">
      <c r="A133" s="216" t="s">
        <v>63</v>
      </c>
      <c r="B133" s="232"/>
      <c r="C133" s="140">
        <f>SUM(C128:C132)</f>
        <v>7998.5843055285804</v>
      </c>
      <c r="D133" s="141"/>
    </row>
    <row r="134" spans="1:4" ht="16.5" thickBot="1">
      <c r="A134" s="138" t="s">
        <v>20</v>
      </c>
      <c r="B134" s="4" t="s">
        <v>64</v>
      </c>
      <c r="C134" s="139">
        <f>D122</f>
        <v>1746.1196300261427</v>
      </c>
      <c r="D134" s="52"/>
    </row>
    <row r="135" spans="1:4" ht="16.5" thickBot="1">
      <c r="A135" s="138"/>
      <c r="B135" s="4"/>
      <c r="C135" s="139"/>
      <c r="D135" s="52"/>
    </row>
    <row r="136" spans="1:4" ht="16.5" thickBot="1">
      <c r="A136" s="216" t="s">
        <v>65</v>
      </c>
      <c r="B136" s="232"/>
      <c r="C136" s="140">
        <f>SUM(C133:C135)</f>
        <v>9744.703935554724</v>
      </c>
      <c r="D136" s="52"/>
    </row>
  </sheetData>
  <mergeCells count="44">
    <mergeCell ref="A136:B136"/>
    <mergeCell ref="A102:B102"/>
    <mergeCell ref="A104:C104"/>
    <mergeCell ref="A111:B111"/>
    <mergeCell ref="A113:D113"/>
    <mergeCell ref="A122:B122"/>
    <mergeCell ref="A125:C125"/>
    <mergeCell ref="A133:B133"/>
    <mergeCell ref="A97:C97"/>
    <mergeCell ref="A59:C59"/>
    <mergeCell ref="A65:B65"/>
    <mergeCell ref="A67:D67"/>
    <mergeCell ref="A68:D68"/>
    <mergeCell ref="A76:B76"/>
    <mergeCell ref="A78:D78"/>
    <mergeCell ref="A79:D79"/>
    <mergeCell ref="A80:D80"/>
    <mergeCell ref="A89:B89"/>
    <mergeCell ref="A91:D91"/>
    <mergeCell ref="A95:B95"/>
    <mergeCell ref="A57:B57"/>
    <mergeCell ref="B16:C16"/>
    <mergeCell ref="B17:C17"/>
    <mergeCell ref="B18:C18"/>
    <mergeCell ref="A19:C19"/>
    <mergeCell ref="A20:C20"/>
    <mergeCell ref="A23:D23"/>
    <mergeCell ref="A25:D25"/>
    <mergeCell ref="A30:B30"/>
    <mergeCell ref="A32:D32"/>
    <mergeCell ref="A43:B43"/>
    <mergeCell ref="A45:D45"/>
    <mergeCell ref="B15:C15"/>
    <mergeCell ref="A2:D2"/>
    <mergeCell ref="A3:D3"/>
    <mergeCell ref="A4:B4"/>
    <mergeCell ref="A5:B5"/>
    <mergeCell ref="A6:B6"/>
    <mergeCell ref="A7:B7"/>
    <mergeCell ref="A9:D9"/>
    <mergeCell ref="B11:C11"/>
    <mergeCell ref="B12:C12"/>
    <mergeCell ref="B13:C13"/>
    <mergeCell ref="B14:C1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8" max="3" man="1"/>
    <brk id="112" max="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8"/>
  <sheetViews>
    <sheetView view="pageBreakPreview" zoomScale="85" zoomScaleSheetLayoutView="85" workbookViewId="0">
      <selection activeCell="B14" sqref="B14:C14"/>
    </sheetView>
  </sheetViews>
  <sheetFormatPr defaultColWidth="8.85546875" defaultRowHeight="15"/>
  <cols>
    <col min="1" max="1" width="8.85546875" style="55"/>
    <col min="2" max="2" width="61.7109375" style="55" customWidth="1"/>
    <col min="3" max="3" width="17.7109375" style="55" customWidth="1"/>
    <col min="4" max="4" width="15.7109375" style="55" customWidth="1"/>
    <col min="5" max="5" width="39.28515625" style="55" customWidth="1"/>
    <col min="6" max="6" width="20.85546875" style="55" customWidth="1"/>
    <col min="7" max="16384" width="8.85546875" style="55"/>
  </cols>
  <sheetData>
    <row r="1" spans="1:5" ht="15.75">
      <c r="A1" s="52"/>
      <c r="B1" s="52"/>
      <c r="C1" s="52"/>
      <c r="D1" s="52"/>
    </row>
    <row r="2" spans="1:5" ht="15" customHeight="1">
      <c r="A2" s="209" t="s">
        <v>76</v>
      </c>
      <c r="B2" s="210"/>
      <c r="C2" s="210"/>
      <c r="D2" s="211"/>
    </row>
    <row r="3" spans="1:5" ht="15" customHeight="1">
      <c r="A3" s="212" t="s">
        <v>225</v>
      </c>
      <c r="B3" s="213"/>
      <c r="C3" s="213"/>
      <c r="D3" s="214"/>
    </row>
    <row r="4" spans="1:5" ht="15" customHeight="1">
      <c r="A4" s="207" t="str">
        <f>CCT!C4</f>
        <v>AM000057/2024</v>
      </c>
      <c r="B4" s="208"/>
      <c r="C4" s="3" t="s">
        <v>77</v>
      </c>
      <c r="D4" s="2">
        <f>CCT!C23</f>
        <v>45323</v>
      </c>
    </row>
    <row r="5" spans="1:5" ht="15" customHeight="1">
      <c r="A5" s="207" t="s">
        <v>86</v>
      </c>
      <c r="B5" s="208"/>
      <c r="C5" s="3" t="s">
        <v>87</v>
      </c>
      <c r="D5" s="49">
        <f>CCT!I2</f>
        <v>5173</v>
      </c>
    </row>
    <row r="6" spans="1:5">
      <c r="A6" s="207" t="s">
        <v>79</v>
      </c>
      <c r="B6" s="208"/>
      <c r="C6" s="3" t="s">
        <v>80</v>
      </c>
      <c r="D6" s="50">
        <f>Principal!F5</f>
        <v>43</v>
      </c>
    </row>
    <row r="7" spans="1:5">
      <c r="A7" s="207" t="s">
        <v>81</v>
      </c>
      <c r="B7" s="208"/>
      <c r="C7" s="3" t="s">
        <v>82</v>
      </c>
      <c r="D7" s="51" t="s">
        <v>83</v>
      </c>
    </row>
    <row r="8" spans="1:5" ht="15.75">
      <c r="A8" s="52"/>
      <c r="B8" s="52"/>
      <c r="C8" s="52"/>
      <c r="D8" s="52"/>
    </row>
    <row r="9" spans="1:5" ht="15.75">
      <c r="A9" s="215" t="s">
        <v>9</v>
      </c>
      <c r="B9" s="215"/>
      <c r="C9" s="215"/>
      <c r="D9" s="215"/>
    </row>
    <row r="10" spans="1:5" ht="16.5" thickBot="1">
      <c r="A10" s="52"/>
      <c r="B10" s="52"/>
      <c r="C10" s="52"/>
      <c r="D10" s="52"/>
    </row>
    <row r="11" spans="1:5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5" ht="16.5" thickBot="1">
      <c r="A12" s="58" t="s">
        <v>12</v>
      </c>
      <c r="B12" s="218" t="s">
        <v>13</v>
      </c>
      <c r="C12" s="219"/>
      <c r="D12" s="53">
        <f>CCT!C29</f>
        <v>1680</v>
      </c>
      <c r="E12" s="52"/>
    </row>
    <row r="13" spans="1:5" ht="16.5" thickBot="1">
      <c r="A13" s="58" t="s">
        <v>14</v>
      </c>
      <c r="B13" s="218" t="s">
        <v>144</v>
      </c>
      <c r="C13" s="219"/>
      <c r="D13" s="54">
        <v>0</v>
      </c>
      <c r="E13" s="52"/>
    </row>
    <row r="14" spans="1:5" ht="16.5" thickBot="1">
      <c r="A14" s="58" t="s">
        <v>16</v>
      </c>
      <c r="B14" s="218" t="s">
        <v>15</v>
      </c>
      <c r="C14" s="219"/>
      <c r="D14" s="54">
        <f>$D$12*0.3</f>
        <v>504</v>
      </c>
      <c r="E14" s="52"/>
    </row>
    <row r="15" spans="1:5" ht="16.5" thickBot="1">
      <c r="A15" s="58" t="s">
        <v>17</v>
      </c>
      <c r="B15" s="218" t="s">
        <v>0</v>
      </c>
      <c r="C15" s="219"/>
      <c r="D15" s="14">
        <v>0</v>
      </c>
      <c r="E15" s="52"/>
    </row>
    <row r="16" spans="1:5" ht="16.5" thickBot="1">
      <c r="A16" s="58" t="s">
        <v>18</v>
      </c>
      <c r="B16" s="218" t="s">
        <v>19</v>
      </c>
      <c r="C16" s="219"/>
      <c r="D16" s="14">
        <v>0</v>
      </c>
      <c r="E16" s="52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2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2184</v>
      </c>
      <c r="E19" s="60"/>
    </row>
    <row r="20" spans="1:5" ht="16.5" thickBot="1">
      <c r="A20" s="220" t="s">
        <v>149</v>
      </c>
      <c r="B20" s="221"/>
      <c r="C20" s="222"/>
      <c r="D20" s="18">
        <f>D19-D18</f>
        <v>2184</v>
      </c>
      <c r="E20" s="59"/>
    </row>
    <row r="21" spans="1:5" ht="15.75">
      <c r="A21" s="52"/>
      <c r="B21" s="52"/>
      <c r="C21" s="52"/>
      <c r="D21" s="59">
        <f>D20-D19</f>
        <v>0</v>
      </c>
      <c r="E21" s="61"/>
    </row>
    <row r="22" spans="1:5" ht="6.6" customHeight="1">
      <c r="A22" s="52"/>
      <c r="B22" s="52"/>
      <c r="C22" s="52"/>
      <c r="D22" s="52"/>
      <c r="E22" s="61"/>
    </row>
    <row r="23" spans="1:5" ht="15.75">
      <c r="A23" s="215" t="s">
        <v>22</v>
      </c>
      <c r="B23" s="215"/>
      <c r="C23" s="215"/>
      <c r="D23" s="215"/>
      <c r="E23" s="61"/>
    </row>
    <row r="24" spans="1:5" ht="15.75">
      <c r="A24" s="62"/>
      <c r="B24" s="52"/>
      <c r="C24" s="52"/>
      <c r="D24" s="52"/>
    </row>
    <row r="25" spans="1:5" ht="15.75">
      <c r="A25" s="223" t="s">
        <v>23</v>
      </c>
      <c r="B25" s="223"/>
      <c r="C25" s="223"/>
      <c r="D25" s="223"/>
    </row>
    <row r="26" spans="1:5" ht="16.5" thickBot="1">
      <c r="A26" s="52"/>
      <c r="B26" s="63" t="s">
        <v>71</v>
      </c>
      <c r="C26" s="52"/>
      <c r="D26" s="52"/>
    </row>
    <row r="27" spans="1:5" ht="16.5" thickBot="1">
      <c r="A27" s="56" t="s">
        <v>24</v>
      </c>
      <c r="B27" s="57" t="s">
        <v>25</v>
      </c>
      <c r="C27" s="56" t="s">
        <v>72</v>
      </c>
      <c r="D27" s="57" t="s">
        <v>11</v>
      </c>
      <c r="E27" s="52"/>
    </row>
    <row r="28" spans="1:5" ht="16.5" thickBot="1">
      <c r="A28" s="58" t="s">
        <v>12</v>
      </c>
      <c r="B28" s="4" t="s">
        <v>245</v>
      </c>
      <c r="C28" s="64">
        <v>8.3333329999999997E-2</v>
      </c>
      <c r="D28" s="65">
        <f>D20*C28</f>
        <v>181.99999271999999</v>
      </c>
      <c r="E28" s="59"/>
    </row>
    <row r="29" spans="1:5" ht="16.5" thickBot="1">
      <c r="A29" s="58" t="s">
        <v>14</v>
      </c>
      <c r="B29" s="4" t="s">
        <v>148</v>
      </c>
      <c r="C29" s="66">
        <f>((1/12)+(1/3/12))</f>
        <v>0.1111111111111111</v>
      </c>
      <c r="D29" s="65">
        <f>D20*C29</f>
        <v>242.66666666666666</v>
      </c>
      <c r="E29" s="59"/>
    </row>
    <row r="30" spans="1:5" ht="16.5" thickBot="1">
      <c r="A30" s="220" t="s">
        <v>1</v>
      </c>
      <c r="B30" s="224"/>
      <c r="C30" s="67">
        <f>SUM(C28:C29)</f>
        <v>0.19444444111111109</v>
      </c>
      <c r="D30" s="68">
        <f>SUM(D28:D29)</f>
        <v>424.66665938666665</v>
      </c>
      <c r="E30" s="59"/>
    </row>
    <row r="31" spans="1:5" ht="15.75">
      <c r="A31" s="52"/>
      <c r="B31" s="52"/>
      <c r="C31" s="52"/>
      <c r="D31" s="52"/>
    </row>
    <row r="32" spans="1:5" ht="15.75">
      <c r="A32" s="225" t="s">
        <v>26</v>
      </c>
      <c r="B32" s="225"/>
      <c r="C32" s="225"/>
      <c r="D32" s="225"/>
    </row>
    <row r="33" spans="1:5" ht="16.5" thickBot="1">
      <c r="A33" s="52"/>
      <c r="B33" s="63" t="s">
        <v>70</v>
      </c>
      <c r="C33" s="52"/>
      <c r="D33" s="52"/>
    </row>
    <row r="34" spans="1:5" ht="16.5" thickBot="1">
      <c r="A34" s="56" t="s">
        <v>27</v>
      </c>
      <c r="B34" s="57" t="s">
        <v>28</v>
      </c>
      <c r="C34" s="57" t="s">
        <v>29</v>
      </c>
      <c r="D34" s="57" t="s">
        <v>11</v>
      </c>
    </row>
    <row r="35" spans="1:5" ht="16.5" thickBot="1">
      <c r="A35" s="58" t="s">
        <v>12</v>
      </c>
      <c r="B35" s="4" t="s">
        <v>30</v>
      </c>
      <c r="C35" s="69">
        <v>0.2</v>
      </c>
      <c r="D35" s="65">
        <f>($D$20+$D$30)*C35</f>
        <v>521.7333318773334</v>
      </c>
      <c r="E35" s="70"/>
    </row>
    <row r="36" spans="1:5" ht="14.25" customHeight="1" thickBot="1">
      <c r="A36" s="58" t="s">
        <v>14</v>
      </c>
      <c r="B36" s="4" t="s">
        <v>31</v>
      </c>
      <c r="C36" s="69">
        <v>2.5000000000000001E-2</v>
      </c>
      <c r="D36" s="65">
        <f t="shared" ref="D36:D41" si="0">($D$20+$D$30)*C36</f>
        <v>65.216666484666675</v>
      </c>
      <c r="E36" s="71"/>
    </row>
    <row r="37" spans="1:5" ht="16.5" thickBot="1">
      <c r="A37" s="58" t="s">
        <v>16</v>
      </c>
      <c r="B37" s="4" t="s">
        <v>67</v>
      </c>
      <c r="C37" s="69">
        <v>0.03</v>
      </c>
      <c r="D37" s="65">
        <f t="shared" si="0"/>
        <v>78.259999781600001</v>
      </c>
      <c r="E37" s="70"/>
    </row>
    <row r="38" spans="1:5" ht="16.5" thickBot="1">
      <c r="A38" s="58" t="s">
        <v>17</v>
      </c>
      <c r="B38" s="4" t="s">
        <v>32</v>
      </c>
      <c r="C38" s="69">
        <v>1.4999999999999999E-2</v>
      </c>
      <c r="D38" s="65">
        <f t="shared" si="0"/>
        <v>39.129999890800001</v>
      </c>
      <c r="E38" s="70"/>
    </row>
    <row r="39" spans="1:5" ht="16.5" thickBot="1">
      <c r="A39" s="58" t="s">
        <v>18</v>
      </c>
      <c r="B39" s="4" t="s">
        <v>33</v>
      </c>
      <c r="C39" s="69">
        <v>0.01</v>
      </c>
      <c r="D39" s="65">
        <f t="shared" si="0"/>
        <v>26.086666593866667</v>
      </c>
      <c r="E39" s="70"/>
    </row>
    <row r="40" spans="1:5" ht="16.5" thickBot="1">
      <c r="A40" s="58" t="s">
        <v>20</v>
      </c>
      <c r="B40" s="4" t="s">
        <v>2</v>
      </c>
      <c r="C40" s="69">
        <v>6.0000000000000001E-3</v>
      </c>
      <c r="D40" s="65">
        <f t="shared" si="0"/>
        <v>15.651999956320001</v>
      </c>
      <c r="E40" s="71"/>
    </row>
    <row r="41" spans="1:5" ht="16.5" thickBot="1">
      <c r="A41" s="58" t="s">
        <v>21</v>
      </c>
      <c r="B41" s="4" t="s">
        <v>3</v>
      </c>
      <c r="C41" s="69">
        <v>2E-3</v>
      </c>
      <c r="D41" s="65">
        <f t="shared" si="0"/>
        <v>5.2173333187733331</v>
      </c>
      <c r="E41" s="71"/>
    </row>
    <row r="42" spans="1:5" ht="15.75" customHeight="1" thickBot="1">
      <c r="A42" s="58" t="s">
        <v>34</v>
      </c>
      <c r="B42" s="4" t="s">
        <v>4</v>
      </c>
      <c r="C42" s="69">
        <v>0.08</v>
      </c>
      <c r="D42" s="65">
        <f t="shared" ref="D42" si="1">($D$20+$D$30)*C42</f>
        <v>208.69333275093334</v>
      </c>
      <c r="E42" s="72"/>
    </row>
    <row r="43" spans="1:5" ht="16.5" thickBot="1">
      <c r="A43" s="220" t="s">
        <v>35</v>
      </c>
      <c r="B43" s="224"/>
      <c r="C43" s="73">
        <f>SUM(C35:C42)</f>
        <v>0.36800000000000005</v>
      </c>
      <c r="D43" s="68">
        <f>SUM(D35:D42)</f>
        <v>959.98933065429333</v>
      </c>
    </row>
    <row r="44" spans="1:5" ht="15.75">
      <c r="A44" s="52"/>
      <c r="B44" s="52"/>
      <c r="C44" s="52"/>
      <c r="D44" s="52"/>
    </row>
    <row r="45" spans="1:5" ht="15.75">
      <c r="A45" s="223" t="s">
        <v>36</v>
      </c>
      <c r="B45" s="223"/>
      <c r="C45" s="223"/>
      <c r="D45" s="223"/>
    </row>
    <row r="46" spans="1:5" ht="16.5" thickBot="1">
      <c r="A46" s="52"/>
      <c r="B46" s="63" t="s">
        <v>69</v>
      </c>
      <c r="C46" s="52"/>
      <c r="D46" s="52"/>
    </row>
    <row r="47" spans="1:5" ht="16.5" thickBot="1">
      <c r="A47" s="56" t="s">
        <v>37</v>
      </c>
      <c r="B47" s="57" t="s">
        <v>38</v>
      </c>
      <c r="C47" s="74" t="s">
        <v>232</v>
      </c>
      <c r="D47" s="57" t="s">
        <v>11</v>
      </c>
      <c r="E47" s="52"/>
    </row>
    <row r="48" spans="1:5" ht="19.5" thickBot="1">
      <c r="A48" s="58" t="s">
        <v>12</v>
      </c>
      <c r="B48" s="4" t="s">
        <v>228</v>
      </c>
      <c r="C48" s="75" t="s">
        <v>154</v>
      </c>
      <c r="D48" s="76">
        <f>((4.5*2)*15)</f>
        <v>135</v>
      </c>
      <c r="E48" s="77"/>
    </row>
    <row r="49" spans="1:5" ht="17.45" customHeight="1" thickBot="1">
      <c r="A49" s="58"/>
      <c r="B49" s="4" t="s">
        <v>68</v>
      </c>
      <c r="C49" s="78">
        <f>CCT!D31</f>
        <v>0.06</v>
      </c>
      <c r="D49" s="76">
        <f>-($D$12*C49)</f>
        <v>-100.8</v>
      </c>
      <c r="E49" s="59"/>
    </row>
    <row r="50" spans="1:5" ht="16.5" thickBot="1">
      <c r="A50" s="58" t="s">
        <v>14</v>
      </c>
      <c r="B50" s="4" t="s">
        <v>233</v>
      </c>
      <c r="C50" s="75" t="s">
        <v>227</v>
      </c>
      <c r="D50" s="76">
        <f>15*CCT!C30</f>
        <v>468</v>
      </c>
      <c r="E50" s="52"/>
    </row>
    <row r="51" spans="1:5" ht="16.5" thickBot="1">
      <c r="A51" s="58"/>
      <c r="B51" s="4" t="s">
        <v>151</v>
      </c>
      <c r="C51" s="78">
        <f>CCT!D30</f>
        <v>0.05</v>
      </c>
      <c r="D51" s="76">
        <f>-C51*D50</f>
        <v>-23.400000000000002</v>
      </c>
      <c r="E51" s="52"/>
    </row>
    <row r="52" spans="1:5" ht="16.5" thickBot="1">
      <c r="A52" s="79" t="s">
        <v>16</v>
      </c>
      <c r="B52" s="80" t="s">
        <v>125</v>
      </c>
      <c r="C52" s="75"/>
      <c r="D52" s="76">
        <v>0</v>
      </c>
      <c r="E52" s="52"/>
    </row>
    <row r="53" spans="1:5" ht="16.5" thickBot="1">
      <c r="A53" s="58" t="s">
        <v>17</v>
      </c>
      <c r="B53" s="4" t="s">
        <v>234</v>
      </c>
      <c r="C53" s="81"/>
      <c r="D53" s="82">
        <f>CCT!C32</f>
        <v>136.88999999999999</v>
      </c>
      <c r="E53" s="83"/>
    </row>
    <row r="54" spans="1:5" ht="16.5" thickBot="1">
      <c r="A54" s="58"/>
      <c r="B54" s="4" t="s">
        <v>152</v>
      </c>
      <c r="C54" s="84">
        <f>CCT!D32</f>
        <v>0.05</v>
      </c>
      <c r="D54" s="76">
        <f>-CCT!C32*CCT!D32</f>
        <v>-6.8445</v>
      </c>
      <c r="E54" s="85"/>
    </row>
    <row r="55" spans="1:5" ht="16.5" thickBot="1">
      <c r="A55" s="58" t="s">
        <v>18</v>
      </c>
      <c r="B55" s="4" t="s">
        <v>197</v>
      </c>
      <c r="C55" s="4"/>
      <c r="D55" s="82">
        <f>CCT!C33</f>
        <v>12</v>
      </c>
      <c r="E55" s="59"/>
    </row>
    <row r="56" spans="1:5" ht="16.5" thickBot="1">
      <c r="A56" s="58" t="s">
        <v>20</v>
      </c>
      <c r="B56" s="4" t="s">
        <v>239</v>
      </c>
      <c r="C56" s="86">
        <f>CCT!D33</f>
        <v>0.5</v>
      </c>
      <c r="D56" s="54">
        <f>-C56*D55</f>
        <v>-6</v>
      </c>
      <c r="E56" s="52"/>
    </row>
    <row r="57" spans="1:5" ht="16.5" thickBot="1">
      <c r="A57" s="220" t="s">
        <v>1</v>
      </c>
      <c r="B57" s="224"/>
      <c r="C57" s="87"/>
      <c r="D57" s="18">
        <f>SUM(D48:D56)</f>
        <v>614.84550000000002</v>
      </c>
      <c r="E57" s="52"/>
    </row>
    <row r="58" spans="1:5" ht="15.75">
      <c r="A58" s="52"/>
      <c r="B58" s="52" t="s">
        <v>145</v>
      </c>
      <c r="C58" s="52"/>
      <c r="D58" s="52"/>
    </row>
    <row r="59" spans="1:5" ht="15.75">
      <c r="A59" s="223" t="s">
        <v>39</v>
      </c>
      <c r="B59" s="223"/>
      <c r="C59" s="223"/>
      <c r="D59" s="52"/>
    </row>
    <row r="60" spans="1:5" ht="16.5" thickBot="1">
      <c r="A60" s="52"/>
      <c r="B60" s="88" t="s">
        <v>246</v>
      </c>
      <c r="C60" s="52"/>
      <c r="D60" s="52"/>
    </row>
    <row r="61" spans="1:5" ht="16.5" thickBot="1">
      <c r="A61" s="56">
        <v>2</v>
      </c>
      <c r="B61" s="57" t="s">
        <v>40</v>
      </c>
      <c r="C61" s="57" t="s">
        <v>11</v>
      </c>
      <c r="D61" s="52"/>
    </row>
    <row r="62" spans="1:5" ht="16.5" thickBot="1">
      <c r="A62" s="58" t="s">
        <v>24</v>
      </c>
      <c r="B62" s="4" t="s">
        <v>25</v>
      </c>
      <c r="C62" s="65">
        <f>D30</f>
        <v>424.66665938666665</v>
      </c>
      <c r="D62" s="52"/>
    </row>
    <row r="63" spans="1:5" ht="16.5" thickBot="1">
      <c r="A63" s="58" t="s">
        <v>27</v>
      </c>
      <c r="B63" s="4" t="s">
        <v>28</v>
      </c>
      <c r="C63" s="65">
        <f>D43</f>
        <v>959.98933065429333</v>
      </c>
      <c r="D63" s="52"/>
    </row>
    <row r="64" spans="1:5" ht="16.5" thickBot="1">
      <c r="A64" s="58" t="s">
        <v>37</v>
      </c>
      <c r="B64" s="4" t="s">
        <v>38</v>
      </c>
      <c r="C64" s="65">
        <f>D57</f>
        <v>614.84550000000002</v>
      </c>
      <c r="D64" s="52"/>
    </row>
    <row r="65" spans="1:6" ht="16.5" thickBot="1">
      <c r="A65" s="226" t="s">
        <v>1</v>
      </c>
      <c r="B65" s="227"/>
      <c r="C65" s="89">
        <f>SUM(C62:C64)</f>
        <v>1999.5014900409601</v>
      </c>
      <c r="D65" s="52"/>
    </row>
    <row r="66" spans="1:6" ht="15.75">
      <c r="A66" s="90"/>
      <c r="B66" s="52"/>
      <c r="C66" s="52"/>
      <c r="D66" s="52"/>
    </row>
    <row r="67" spans="1:6" ht="15.75">
      <c r="A67" s="215" t="s">
        <v>41</v>
      </c>
      <c r="B67" s="215"/>
      <c r="C67" s="215"/>
      <c r="D67" s="215"/>
    </row>
    <row r="68" spans="1:6" ht="16.5" thickBot="1">
      <c r="A68" s="228" t="s">
        <v>142</v>
      </c>
      <c r="B68" s="228"/>
      <c r="C68" s="228"/>
      <c r="D68" s="228"/>
    </row>
    <row r="69" spans="1:6" ht="16.5" thickBot="1">
      <c r="A69" s="56">
        <v>3</v>
      </c>
      <c r="B69" s="57" t="s">
        <v>42</v>
      </c>
      <c r="C69" s="91" t="s">
        <v>72</v>
      </c>
      <c r="D69" s="56" t="s">
        <v>11</v>
      </c>
      <c r="E69" s="92"/>
    </row>
    <row r="70" spans="1:6" ht="16.5" thickBot="1">
      <c r="A70" s="58" t="s">
        <v>12</v>
      </c>
      <c r="B70" s="93" t="s">
        <v>43</v>
      </c>
      <c r="C70" s="94">
        <f>(100%*(1/12)*5%)*100%</f>
        <v>4.1666666666666666E-3</v>
      </c>
      <c r="D70" s="95">
        <f>C70*$D$20</f>
        <v>9.1</v>
      </c>
      <c r="E70" s="96"/>
    </row>
    <row r="71" spans="1:6" ht="16.5" thickBot="1">
      <c r="A71" s="58" t="s">
        <v>14</v>
      </c>
      <c r="B71" s="93" t="s">
        <v>44</v>
      </c>
      <c r="C71" s="97">
        <f>C70*C42</f>
        <v>3.3333333333333332E-4</v>
      </c>
      <c r="D71" s="95">
        <f t="shared" ref="D71:D75" si="2">C71*$D$20</f>
        <v>0.72799999999999998</v>
      </c>
      <c r="E71" s="96"/>
    </row>
    <row r="72" spans="1:6" ht="16.5" thickBot="1">
      <c r="A72" s="58" t="s">
        <v>16</v>
      </c>
      <c r="B72" s="93" t="s">
        <v>146</v>
      </c>
      <c r="C72" s="98">
        <f>C71*40%</f>
        <v>1.3333333333333334E-4</v>
      </c>
      <c r="D72" s="95">
        <f t="shared" si="2"/>
        <v>0.29120000000000001</v>
      </c>
      <c r="E72" s="52"/>
    </row>
    <row r="73" spans="1:6" ht="16.5" thickBot="1">
      <c r="A73" s="58" t="s">
        <v>17</v>
      </c>
      <c r="B73" s="93" t="s">
        <v>46</v>
      </c>
      <c r="C73" s="99">
        <f>((7/30)/12)</f>
        <v>1.9444444444444445E-2</v>
      </c>
      <c r="D73" s="95">
        <f t="shared" si="2"/>
        <v>42.466666666666669</v>
      </c>
      <c r="E73" s="52"/>
    </row>
    <row r="74" spans="1:6" ht="32.25" thickBot="1">
      <c r="A74" s="58" t="s">
        <v>18</v>
      </c>
      <c r="B74" s="93" t="s">
        <v>78</v>
      </c>
      <c r="C74" s="98">
        <f>C43*C73</f>
        <v>7.1555555555555565E-3</v>
      </c>
      <c r="D74" s="95">
        <f t="shared" si="2"/>
        <v>15.627733333333335</v>
      </c>
      <c r="E74" s="59"/>
    </row>
    <row r="75" spans="1:6" ht="16.5" thickBot="1">
      <c r="A75" s="58" t="s">
        <v>20</v>
      </c>
      <c r="B75" s="93" t="s">
        <v>147</v>
      </c>
      <c r="C75" s="98">
        <f>((100%+8.33%+11.11%)*8%*40%+0.18%)</f>
        <v>4.0020800000000002E-2</v>
      </c>
      <c r="D75" s="95">
        <f t="shared" si="2"/>
        <v>87.405427200000005</v>
      </c>
      <c r="E75" s="52"/>
    </row>
    <row r="76" spans="1:6" ht="16.5" thickBot="1">
      <c r="A76" s="229" t="s">
        <v>1</v>
      </c>
      <c r="B76" s="230"/>
      <c r="C76" s="100">
        <f>SUM(C70:C75)</f>
        <v>7.125413333333333E-2</v>
      </c>
      <c r="D76" s="101">
        <f>SUM(D70:D75)</f>
        <v>155.6190272</v>
      </c>
      <c r="E76" s="102"/>
      <c r="F76" s="61"/>
    </row>
    <row r="77" spans="1:6" ht="15.75">
      <c r="A77" s="52"/>
      <c r="B77" s="52"/>
      <c r="C77" s="103"/>
      <c r="D77" s="52"/>
      <c r="E77" s="61"/>
      <c r="F77" s="61"/>
    </row>
    <row r="78" spans="1:6" ht="15.75">
      <c r="A78" s="215" t="s">
        <v>48</v>
      </c>
      <c r="B78" s="215"/>
      <c r="C78" s="215"/>
      <c r="D78" s="215"/>
      <c r="E78" s="61"/>
    </row>
    <row r="79" spans="1:6">
      <c r="A79" s="104"/>
      <c r="B79" s="104"/>
      <c r="C79" s="104"/>
      <c r="D79" s="105"/>
      <c r="E79" s="61"/>
    </row>
    <row r="80" spans="1:6" ht="15.75">
      <c r="A80" s="223" t="s">
        <v>49</v>
      </c>
      <c r="B80" s="223"/>
      <c r="C80" s="223"/>
      <c r="D80" s="223"/>
      <c r="E80" s="106" t="s">
        <v>176</v>
      </c>
      <c r="F80" s="61"/>
    </row>
    <row r="81" spans="1:5" ht="16.5" customHeight="1" thickBot="1">
      <c r="D81" s="59"/>
      <c r="E81" s="61"/>
    </row>
    <row r="82" spans="1:5" ht="16.5" thickBot="1">
      <c r="A82" s="56" t="s">
        <v>50</v>
      </c>
      <c r="B82" s="57" t="s">
        <v>51</v>
      </c>
      <c r="C82" s="56" t="s">
        <v>72</v>
      </c>
      <c r="D82" s="57" t="s">
        <v>11</v>
      </c>
      <c r="E82" s="59"/>
    </row>
    <row r="83" spans="1:5" ht="16.5" thickBot="1">
      <c r="A83" s="58" t="s">
        <v>12</v>
      </c>
      <c r="B83" s="4" t="s">
        <v>150</v>
      </c>
      <c r="C83" s="107">
        <f>((((1/12/12))+(((1/12/12)/3))*100%))</f>
        <v>9.2592592592592587E-3</v>
      </c>
      <c r="D83" s="65">
        <f>($D$20+$D$30+$D$43)*C83*0</f>
        <v>0</v>
      </c>
      <c r="E83" s="108"/>
    </row>
    <row r="84" spans="1:5" ht="16.5" thickBot="1">
      <c r="A84" s="58" t="s">
        <v>14</v>
      </c>
      <c r="B84" s="4" t="s">
        <v>137</v>
      </c>
      <c r="C84" s="107">
        <f>((2/30)/12)*100%</f>
        <v>5.5555555555555558E-3</v>
      </c>
      <c r="D84" s="65">
        <f>($D$20+D57)*C84</f>
        <v>15.549141666666667</v>
      </c>
      <c r="E84" s="109"/>
    </row>
    <row r="85" spans="1:5" ht="16.5" thickBot="1">
      <c r="A85" s="58" t="s">
        <v>16</v>
      </c>
      <c r="B85" s="4" t="s">
        <v>138</v>
      </c>
      <c r="C85" s="110">
        <f>(((5/30)/12)*0.015)*100%</f>
        <v>2.0833333333333332E-4</v>
      </c>
      <c r="D85" s="65">
        <f t="shared" ref="D85:D87" si="3">($D$20+$D$30+$D$43)*C85</f>
        <v>0.74346999792519997</v>
      </c>
      <c r="E85" s="52"/>
    </row>
    <row r="86" spans="1:5" ht="16.5" thickBot="1">
      <c r="A86" s="58" t="s">
        <v>18</v>
      </c>
      <c r="B86" s="4" t="s">
        <v>139</v>
      </c>
      <c r="C86" s="110">
        <f>(((15/30)/12)*0.08)*100%</f>
        <v>3.3333333333333331E-3</v>
      </c>
      <c r="D86" s="65">
        <f>($D$20+$D$30+$D$43)*C86</f>
        <v>11.895519966803199</v>
      </c>
      <c r="E86" s="52"/>
    </row>
    <row r="87" spans="1:5" ht="16.5" thickBot="1">
      <c r="A87" s="79" t="s">
        <v>17</v>
      </c>
      <c r="B87" s="111" t="s">
        <v>140</v>
      </c>
      <c r="C87" s="112">
        <f>((4/12)/12*0.02*100%)</f>
        <v>5.5555555555555556E-4</v>
      </c>
      <c r="D87" s="65">
        <f t="shared" si="3"/>
        <v>1.9825866611338667</v>
      </c>
      <c r="E87" s="59"/>
    </row>
    <row r="88" spans="1:5" ht="16.5" thickBot="1">
      <c r="A88" s="79" t="s">
        <v>20</v>
      </c>
      <c r="B88" s="4" t="s">
        <v>141</v>
      </c>
      <c r="C88" s="110">
        <v>0</v>
      </c>
      <c r="D88" s="65">
        <f t="shared" ref="D88" si="4">$D$19*C88</f>
        <v>0</v>
      </c>
      <c r="E88" s="59"/>
    </row>
    <row r="89" spans="1:5" ht="16.5" thickBot="1">
      <c r="A89" s="216" t="s">
        <v>35</v>
      </c>
      <c r="B89" s="232"/>
      <c r="C89" s="113">
        <f>SUM(C83:C88)</f>
        <v>1.8912037037037036E-2</v>
      </c>
      <c r="D89" s="114">
        <f>SUM(D83:D88)</f>
        <v>30.170718292528932</v>
      </c>
    </row>
    <row r="90" spans="1:5" ht="15.75">
      <c r="A90" s="52"/>
      <c r="B90" s="52"/>
      <c r="C90" s="52"/>
      <c r="D90" s="52"/>
      <c r="E90" s="61"/>
    </row>
    <row r="91" spans="1:5" ht="15.75">
      <c r="A91" s="223" t="s">
        <v>52</v>
      </c>
      <c r="B91" s="223"/>
      <c r="C91" s="223"/>
      <c r="D91" s="223"/>
    </row>
    <row r="92" spans="1:5" ht="16.5" thickBot="1">
      <c r="A92" s="62"/>
      <c r="B92" s="52"/>
      <c r="C92" s="52"/>
      <c r="D92" s="52"/>
    </row>
    <row r="93" spans="1:5" ht="16.5" thickBot="1">
      <c r="A93" s="56" t="s">
        <v>53</v>
      </c>
      <c r="B93" s="57" t="s">
        <v>54</v>
      </c>
      <c r="C93" s="56" t="s">
        <v>72</v>
      </c>
      <c r="D93" s="57" t="s">
        <v>11</v>
      </c>
      <c r="E93" s="52"/>
    </row>
    <row r="94" spans="1:5" ht="16.5" thickBot="1">
      <c r="A94" s="58" t="s">
        <v>12</v>
      </c>
      <c r="B94" s="4" t="s">
        <v>66</v>
      </c>
      <c r="C94" s="115" t="s">
        <v>179</v>
      </c>
      <c r="D94" s="116">
        <f>(($D$20/180)*1.5)*15</f>
        <v>273</v>
      </c>
      <c r="E94" s="52"/>
    </row>
    <row r="95" spans="1:5" ht="16.5" thickBot="1">
      <c r="A95" s="216" t="s">
        <v>1</v>
      </c>
      <c r="B95" s="232"/>
      <c r="C95" s="117"/>
      <c r="D95" s="118">
        <f>SUM(D94)</f>
        <v>273</v>
      </c>
      <c r="E95" s="52"/>
    </row>
    <row r="96" spans="1:5" ht="15.75">
      <c r="A96" s="52"/>
      <c r="B96" s="52"/>
      <c r="C96" s="52"/>
      <c r="D96" s="52"/>
      <c r="E96" s="52"/>
    </row>
    <row r="97" spans="1:5" ht="15.75">
      <c r="A97" s="223" t="s">
        <v>55</v>
      </c>
      <c r="B97" s="223"/>
      <c r="C97" s="223"/>
    </row>
    <row r="98" spans="1:5" ht="16.5" thickBot="1">
      <c r="A98" s="62"/>
      <c r="B98" s="52"/>
      <c r="C98" s="52"/>
    </row>
    <row r="99" spans="1:5" ht="16.5" thickBot="1">
      <c r="A99" s="56">
        <v>4</v>
      </c>
      <c r="B99" s="57" t="s">
        <v>56</v>
      </c>
      <c r="C99" s="57" t="s">
        <v>11</v>
      </c>
      <c r="D99" s="52"/>
    </row>
    <row r="100" spans="1:5" ht="16.5" thickBot="1">
      <c r="A100" s="58" t="s">
        <v>50</v>
      </c>
      <c r="B100" s="4" t="s">
        <v>51</v>
      </c>
      <c r="C100" s="54">
        <f>D89</f>
        <v>30.170718292528932</v>
      </c>
      <c r="D100" s="52"/>
    </row>
    <row r="101" spans="1:5" ht="16.5" thickBot="1">
      <c r="A101" s="58" t="s">
        <v>53</v>
      </c>
      <c r="B101" s="4" t="s">
        <v>54</v>
      </c>
      <c r="C101" s="54">
        <f>D95</f>
        <v>273</v>
      </c>
      <c r="D101" s="52"/>
    </row>
    <row r="102" spans="1:5" ht="15.75" customHeight="1" thickBot="1">
      <c r="A102" s="216" t="s">
        <v>1</v>
      </c>
      <c r="B102" s="232"/>
      <c r="C102" s="118">
        <f>SUM(C100:C101)</f>
        <v>303.17071829252893</v>
      </c>
      <c r="D102" s="52"/>
    </row>
    <row r="103" spans="1:5" ht="15.75">
      <c r="A103" s="52"/>
      <c r="B103" s="52"/>
      <c r="C103" s="52"/>
      <c r="D103" s="52"/>
    </row>
    <row r="104" spans="1:5" ht="9.6" customHeight="1">
      <c r="A104" s="52"/>
      <c r="B104" s="52"/>
      <c r="C104" s="52"/>
      <c r="D104" s="52"/>
    </row>
    <row r="105" spans="1:5" ht="15.75">
      <c r="A105" s="231" t="s">
        <v>57</v>
      </c>
      <c r="B105" s="231"/>
      <c r="C105" s="231"/>
    </row>
    <row r="106" spans="1:5" ht="16.5" thickBot="1">
      <c r="A106" s="52"/>
      <c r="B106" s="52"/>
      <c r="C106" s="52"/>
    </row>
    <row r="107" spans="1:5" ht="16.5" thickBot="1">
      <c r="A107" s="56">
        <v>5</v>
      </c>
      <c r="B107" s="119" t="s">
        <v>5</v>
      </c>
      <c r="C107" s="57" t="s">
        <v>11</v>
      </c>
      <c r="D107" s="52"/>
    </row>
    <row r="108" spans="1:5" ht="16.5" thickBot="1">
      <c r="A108" s="58" t="s">
        <v>12</v>
      </c>
      <c r="B108" s="4" t="s">
        <v>58</v>
      </c>
      <c r="C108" s="54">
        <f>Unif!F20</f>
        <v>74.84</v>
      </c>
      <c r="D108" s="52"/>
    </row>
    <row r="109" spans="1:5" ht="16.5" thickBot="1">
      <c r="A109" s="58" t="s">
        <v>14</v>
      </c>
      <c r="B109" s="4" t="s">
        <v>126</v>
      </c>
      <c r="C109" s="54">
        <f>Equipam!H30</f>
        <v>152.53421778771545</v>
      </c>
      <c r="D109" s="52"/>
    </row>
    <row r="110" spans="1:5" ht="16.5" thickBot="1">
      <c r="A110" s="58" t="s">
        <v>16</v>
      </c>
      <c r="B110" s="4" t="s">
        <v>127</v>
      </c>
      <c r="C110" s="14"/>
      <c r="E110" s="52"/>
    </row>
    <row r="111" spans="1:5" ht="16.5" thickBot="1">
      <c r="A111" s="58" t="s">
        <v>17</v>
      </c>
      <c r="B111" s="4" t="s">
        <v>84</v>
      </c>
      <c r="C111" s="54"/>
      <c r="D111" s="52"/>
    </row>
    <row r="112" spans="1:5" ht="16.5" thickBot="1">
      <c r="A112" s="216" t="s">
        <v>35</v>
      </c>
      <c r="B112" s="232"/>
      <c r="C112" s="118">
        <f>SUM(C108:C111)</f>
        <v>227.37421778771545</v>
      </c>
      <c r="D112" s="52"/>
    </row>
    <row r="113" spans="1:5" ht="15.75">
      <c r="A113" s="52"/>
      <c r="B113" s="52"/>
      <c r="C113" s="52"/>
      <c r="D113" s="52"/>
    </row>
    <row r="114" spans="1:5" ht="15.75">
      <c r="A114" s="231" t="s">
        <v>59</v>
      </c>
      <c r="B114" s="231"/>
      <c r="C114" s="231"/>
      <c r="D114" s="231"/>
      <c r="E114" s="120"/>
    </row>
    <row r="115" spans="1:5" ht="16.5" thickBot="1">
      <c r="A115" s="52"/>
      <c r="B115" s="52"/>
      <c r="C115" s="52"/>
      <c r="D115" s="52"/>
      <c r="E115" s="120"/>
    </row>
    <row r="116" spans="1:5" ht="16.5" thickBot="1">
      <c r="A116" s="56">
        <v>6</v>
      </c>
      <c r="B116" s="119" t="s">
        <v>6</v>
      </c>
      <c r="C116" s="57" t="s">
        <v>29</v>
      </c>
      <c r="D116" s="121" t="s">
        <v>11</v>
      </c>
      <c r="E116" s="122"/>
    </row>
    <row r="117" spans="1:5" ht="16.5" thickBot="1">
      <c r="A117" s="58" t="s">
        <v>12</v>
      </c>
      <c r="B117" s="4" t="s">
        <v>7</v>
      </c>
      <c r="C117" s="110">
        <v>0.05</v>
      </c>
      <c r="D117" s="123">
        <f>$C$134*C117</f>
        <v>243.48577266606026</v>
      </c>
      <c r="E117" s="124"/>
    </row>
    <row r="118" spans="1:5" ht="16.5" thickBot="1">
      <c r="A118" s="58" t="s">
        <v>14</v>
      </c>
      <c r="B118" s="4" t="s">
        <v>8</v>
      </c>
      <c r="C118" s="110">
        <v>6.7900000000000002E-2</v>
      </c>
      <c r="D118" s="123">
        <f>($C$134+$D$117)*C118</f>
        <v>347.18636324453536</v>
      </c>
      <c r="E118" s="124"/>
    </row>
    <row r="119" spans="1:5" ht="16.5" thickBot="1">
      <c r="A119" s="58" t="s">
        <v>16</v>
      </c>
      <c r="B119" s="4" t="s">
        <v>75</v>
      </c>
      <c r="C119" s="125">
        <f>C120+C121+C122</f>
        <v>8.6529999999999996E-2</v>
      </c>
      <c r="D119" s="123"/>
      <c r="E119" s="124"/>
    </row>
    <row r="120" spans="1:5" ht="16.5" thickBot="1">
      <c r="A120" s="58"/>
      <c r="B120" s="4" t="s">
        <v>73</v>
      </c>
      <c r="C120" s="110">
        <v>6.5300000000000002E-3</v>
      </c>
      <c r="D120" s="126">
        <f>(($C$134+$D$117+$D$118)/1-$C$119)*C120</f>
        <v>35.655765916783665</v>
      </c>
      <c r="E120" s="120"/>
    </row>
    <row r="121" spans="1:5" ht="16.5" thickBot="1">
      <c r="A121" s="58"/>
      <c r="B121" s="4" t="s">
        <v>74</v>
      </c>
      <c r="C121" s="127">
        <v>0.03</v>
      </c>
      <c r="D121" s="126">
        <f>(($C$134+$D$117+$D$118)/1-$C$119)*C121</f>
        <v>163.80903177695404</v>
      </c>
      <c r="E121" s="120"/>
    </row>
    <row r="122" spans="1:5" ht="16.5" thickBot="1">
      <c r="A122" s="58"/>
      <c r="B122" s="4" t="s">
        <v>60</v>
      </c>
      <c r="C122" s="110">
        <v>0.05</v>
      </c>
      <c r="D122" s="128">
        <f>(($C$134+$D$117+$D$118)/1-$C$119)*C122</f>
        <v>273.01505296159007</v>
      </c>
    </row>
    <row r="123" spans="1:5" ht="16.5" thickBot="1">
      <c r="A123" s="216" t="s">
        <v>35</v>
      </c>
      <c r="B123" s="232"/>
      <c r="C123" s="129">
        <f>SUM(C117:C122)-C119</f>
        <v>0.20443</v>
      </c>
      <c r="D123" s="118">
        <f>SUM(D117:D122)</f>
        <v>1063.1519865659234</v>
      </c>
      <c r="E123" s="61"/>
    </row>
    <row r="124" spans="1:5" ht="15.75">
      <c r="A124" s="130"/>
      <c r="B124" s="130"/>
      <c r="C124" s="131"/>
      <c r="D124" s="132"/>
      <c r="E124" s="61"/>
    </row>
    <row r="125" spans="1:5" ht="15.75">
      <c r="A125" s="133"/>
      <c r="B125" s="134"/>
      <c r="C125" s="135"/>
      <c r="D125" s="136"/>
    </row>
    <row r="126" spans="1:5" ht="15.75">
      <c r="A126" s="231" t="s">
        <v>61</v>
      </c>
      <c r="B126" s="231"/>
      <c r="C126" s="231"/>
      <c r="D126" s="52"/>
    </row>
    <row r="127" spans="1:5" ht="16.5" thickBot="1">
      <c r="A127" s="52"/>
      <c r="B127" s="52"/>
      <c r="C127" s="52"/>
      <c r="D127" s="52"/>
    </row>
    <row r="128" spans="1:5" ht="32.25" thickBot="1">
      <c r="A128" s="56"/>
      <c r="B128" s="57" t="s">
        <v>62</v>
      </c>
      <c r="C128" s="57" t="s">
        <v>11</v>
      </c>
      <c r="D128" s="52"/>
      <c r="E128" s="137"/>
    </row>
    <row r="129" spans="1:5" ht="16.5" thickBot="1">
      <c r="A129" s="138" t="s">
        <v>12</v>
      </c>
      <c r="B129" s="4" t="s">
        <v>9</v>
      </c>
      <c r="C129" s="139">
        <f>D19</f>
        <v>2184</v>
      </c>
      <c r="D129" s="52"/>
      <c r="E129" s="61"/>
    </row>
    <row r="130" spans="1:5" ht="16.5" thickBot="1">
      <c r="A130" s="138" t="s">
        <v>14</v>
      </c>
      <c r="B130" s="4" t="s">
        <v>22</v>
      </c>
      <c r="C130" s="139">
        <f>C65</f>
        <v>1999.5014900409601</v>
      </c>
      <c r="D130" s="52"/>
    </row>
    <row r="131" spans="1:5" ht="16.5" thickBot="1">
      <c r="A131" s="138" t="s">
        <v>16</v>
      </c>
      <c r="B131" s="4" t="s">
        <v>41</v>
      </c>
      <c r="C131" s="139">
        <f>D76+0.05</f>
        <v>155.66902720000002</v>
      </c>
      <c r="D131" s="52"/>
    </row>
    <row r="132" spans="1:5" ht="16.5" thickBot="1">
      <c r="A132" s="138" t="s">
        <v>17</v>
      </c>
      <c r="B132" s="4" t="s">
        <v>48</v>
      </c>
      <c r="C132" s="139">
        <f>C102</f>
        <v>303.17071829252893</v>
      </c>
      <c r="D132" s="52"/>
    </row>
    <row r="133" spans="1:5" ht="16.5" thickBot="1">
      <c r="A133" s="138" t="s">
        <v>18</v>
      </c>
      <c r="B133" s="4" t="s">
        <v>57</v>
      </c>
      <c r="C133" s="139">
        <f>C112</f>
        <v>227.37421778771545</v>
      </c>
      <c r="D133" s="52"/>
    </row>
    <row r="134" spans="1:5" ht="16.5" thickBot="1">
      <c r="A134" s="216" t="s">
        <v>63</v>
      </c>
      <c r="B134" s="232"/>
      <c r="C134" s="140">
        <f>SUM(C129:C133)</f>
        <v>4869.7154533212051</v>
      </c>
      <c r="D134" s="141"/>
    </row>
    <row r="135" spans="1:5" ht="16.5" thickBot="1">
      <c r="A135" s="138" t="s">
        <v>20</v>
      </c>
      <c r="B135" s="4" t="s">
        <v>64</v>
      </c>
      <c r="C135" s="139">
        <f>D123</f>
        <v>1063.1519865659234</v>
      </c>
      <c r="D135" s="52"/>
    </row>
    <row r="136" spans="1:5" ht="16.5" thickBot="1">
      <c r="A136" s="138"/>
      <c r="B136" s="4"/>
      <c r="C136" s="139"/>
      <c r="D136" s="52"/>
    </row>
    <row r="137" spans="1:5" ht="16.5" thickBot="1">
      <c r="A137" s="216" t="s">
        <v>65</v>
      </c>
      <c r="B137" s="232"/>
      <c r="C137" s="140">
        <f>SUM(C134:C136)</f>
        <v>5932.8674398871281</v>
      </c>
      <c r="D137" s="59"/>
      <c r="E137" s="61"/>
    </row>
    <row r="138" spans="1:5">
      <c r="E138" s="61"/>
    </row>
  </sheetData>
  <mergeCells count="43">
    <mergeCell ref="A9:D9"/>
    <mergeCell ref="A23:D23"/>
    <mergeCell ref="A25:D25"/>
    <mergeCell ref="B11:C11"/>
    <mergeCell ref="B12:C12"/>
    <mergeCell ref="B13:C13"/>
    <mergeCell ref="B14:C14"/>
    <mergeCell ref="B15:C15"/>
    <mergeCell ref="B16:C16"/>
    <mergeCell ref="B17:C17"/>
    <mergeCell ref="B18:C18"/>
    <mergeCell ref="A2:D2"/>
    <mergeCell ref="A3:D3"/>
    <mergeCell ref="A4:B4"/>
    <mergeCell ref="A5:B5"/>
    <mergeCell ref="A6:B6"/>
    <mergeCell ref="A7:B7"/>
    <mergeCell ref="A76:B76"/>
    <mergeCell ref="A78:D78"/>
    <mergeCell ref="A80:D80"/>
    <mergeCell ref="A89:B89"/>
    <mergeCell ref="A20:C20"/>
    <mergeCell ref="A32:D32"/>
    <mergeCell ref="A45:D45"/>
    <mergeCell ref="A57:B57"/>
    <mergeCell ref="A59:C59"/>
    <mergeCell ref="A65:B65"/>
    <mergeCell ref="A67:D67"/>
    <mergeCell ref="A68:D68"/>
    <mergeCell ref="A30:B30"/>
    <mergeCell ref="A19:C19"/>
    <mergeCell ref="A43:B43"/>
    <mergeCell ref="A137:B137"/>
    <mergeCell ref="A112:B112"/>
    <mergeCell ref="A114:D114"/>
    <mergeCell ref="A123:B123"/>
    <mergeCell ref="A126:C126"/>
    <mergeCell ref="A134:B134"/>
    <mergeCell ref="A91:D91"/>
    <mergeCell ref="A95:B95"/>
    <mergeCell ref="A97:C97"/>
    <mergeCell ref="A102:B102"/>
    <mergeCell ref="A105:C10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8" max="16383" man="1"/>
    <brk id="11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6"/>
  <sheetViews>
    <sheetView view="pageBreakPreview" zoomScale="85" zoomScaleSheetLayoutView="85" workbookViewId="0">
      <selection activeCell="A6" sqref="A6:B6"/>
    </sheetView>
  </sheetViews>
  <sheetFormatPr defaultColWidth="8.85546875" defaultRowHeight="15"/>
  <cols>
    <col min="1" max="1" width="8.85546875" style="55"/>
    <col min="2" max="2" width="61.7109375" style="55" customWidth="1"/>
    <col min="3" max="3" width="17.7109375" style="55" customWidth="1"/>
    <col min="4" max="4" width="15.7109375" style="55" customWidth="1"/>
    <col min="5" max="5" width="41.5703125" style="55" customWidth="1"/>
    <col min="6" max="6" width="9.5703125" style="55" bestFit="1" customWidth="1"/>
    <col min="7" max="16384" width="8.85546875" style="55"/>
  </cols>
  <sheetData>
    <row r="1" spans="1:6" ht="15.75">
      <c r="A1" s="52"/>
      <c r="B1" s="52"/>
      <c r="C1" s="52"/>
      <c r="D1" s="52"/>
    </row>
    <row r="2" spans="1:6" ht="15" customHeight="1">
      <c r="A2" s="209" t="s">
        <v>76</v>
      </c>
      <c r="B2" s="210"/>
      <c r="C2" s="210"/>
      <c r="D2" s="211"/>
    </row>
    <row r="3" spans="1:6" ht="15" customHeight="1">
      <c r="A3" s="212" t="s">
        <v>145</v>
      </c>
      <c r="B3" s="213"/>
      <c r="C3" s="213"/>
      <c r="D3" s="214"/>
    </row>
    <row r="4" spans="1:6" ht="15" customHeight="1">
      <c r="A4" s="207" t="str">
        <f>'VA Dia'!A4</f>
        <v>AM000057/2024</v>
      </c>
      <c r="B4" s="208"/>
      <c r="C4" s="3" t="s">
        <v>77</v>
      </c>
      <c r="D4" s="2">
        <f>'VA Dia'!D4</f>
        <v>45323</v>
      </c>
    </row>
    <row r="5" spans="1:6" ht="15" customHeight="1">
      <c r="A5" s="207" t="s">
        <v>128</v>
      </c>
      <c r="B5" s="208"/>
      <c r="C5" s="3" t="s">
        <v>87</v>
      </c>
      <c r="D5" s="49">
        <v>5173</v>
      </c>
    </row>
    <row r="6" spans="1:6">
      <c r="A6" s="207" t="s">
        <v>79</v>
      </c>
      <c r="B6" s="208"/>
      <c r="C6" s="3" t="s">
        <v>80</v>
      </c>
      <c r="D6" s="50">
        <f>Principal!F6</f>
        <v>43</v>
      </c>
    </row>
    <row r="7" spans="1:6">
      <c r="A7" s="207" t="s">
        <v>81</v>
      </c>
      <c r="B7" s="208"/>
      <c r="C7" s="3" t="s">
        <v>82</v>
      </c>
      <c r="D7" s="51" t="s">
        <v>83</v>
      </c>
    </row>
    <row r="8" spans="1:6" ht="15.75">
      <c r="A8" s="52"/>
      <c r="B8" s="52"/>
      <c r="C8" s="52"/>
      <c r="D8" s="52"/>
    </row>
    <row r="9" spans="1:6" ht="15.75">
      <c r="A9" s="215" t="s">
        <v>9</v>
      </c>
      <c r="B9" s="215"/>
      <c r="C9" s="215"/>
      <c r="D9" s="215"/>
    </row>
    <row r="10" spans="1:6" ht="16.5" thickBot="1">
      <c r="A10" s="52"/>
      <c r="B10" s="52"/>
      <c r="C10" s="52"/>
      <c r="D10" s="52"/>
    </row>
    <row r="11" spans="1:6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6" ht="16.5" thickBot="1">
      <c r="A12" s="58" t="s">
        <v>12</v>
      </c>
      <c r="B12" s="218" t="s">
        <v>13</v>
      </c>
      <c r="C12" s="219"/>
      <c r="D12" s="53">
        <f>'VA Dia'!D12</f>
        <v>1680</v>
      </c>
      <c r="E12" s="59"/>
      <c r="F12" s="142"/>
    </row>
    <row r="13" spans="1:6" ht="16.5" thickBot="1">
      <c r="A13" s="58" t="s">
        <v>14</v>
      </c>
      <c r="B13" s="218" t="s">
        <v>144</v>
      </c>
      <c r="C13" s="219"/>
      <c r="D13" s="54">
        <v>0</v>
      </c>
      <c r="E13" s="59"/>
      <c r="F13" s="142"/>
    </row>
    <row r="14" spans="1:6" ht="16.5" thickBot="1">
      <c r="A14" s="58" t="s">
        <v>16</v>
      </c>
      <c r="B14" s="218" t="s">
        <v>15</v>
      </c>
      <c r="C14" s="219"/>
      <c r="D14" s="54">
        <f>$D$12*0.3</f>
        <v>504</v>
      </c>
      <c r="E14" s="59"/>
    </row>
    <row r="15" spans="1:6" ht="16.5" thickBot="1">
      <c r="A15" s="58" t="s">
        <v>17</v>
      </c>
      <c r="B15" s="218" t="s">
        <v>0</v>
      </c>
      <c r="C15" s="219"/>
      <c r="D15" s="14">
        <f>(($D$12+$D$14)/192*0.2*8*16)</f>
        <v>291.2</v>
      </c>
      <c r="E15" s="59"/>
    </row>
    <row r="16" spans="1:6" ht="16.5" customHeight="1" thickBot="1">
      <c r="A16" s="58" t="s">
        <v>18</v>
      </c>
      <c r="B16" s="218" t="s">
        <v>19</v>
      </c>
      <c r="C16" s="219"/>
      <c r="D16" s="14">
        <f>((($D$12+$D$14+$D$15)/192*1.5)*16)</f>
        <v>309.39999999999998</v>
      </c>
      <c r="E16" s="59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9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2784.6</v>
      </c>
      <c r="E19" s="60"/>
    </row>
    <row r="20" spans="1:5" ht="16.5" thickBot="1">
      <c r="A20" s="220" t="s">
        <v>149</v>
      </c>
      <c r="B20" s="221"/>
      <c r="C20" s="222"/>
      <c r="D20" s="18">
        <f>D19-D18</f>
        <v>2784.6</v>
      </c>
      <c r="E20" s="59"/>
    </row>
    <row r="21" spans="1:5" ht="15.75">
      <c r="A21" s="52"/>
      <c r="B21" s="52"/>
      <c r="C21" s="52"/>
      <c r="D21" s="59">
        <f>D20-D19</f>
        <v>0</v>
      </c>
    </row>
    <row r="22" spans="1:5" ht="15.75">
      <c r="A22" s="52"/>
      <c r="B22" s="52"/>
      <c r="C22" s="52"/>
      <c r="D22" s="52"/>
    </row>
    <row r="23" spans="1:5" ht="15.75">
      <c r="A23" s="215" t="s">
        <v>22</v>
      </c>
      <c r="B23" s="215"/>
      <c r="C23" s="215"/>
      <c r="D23" s="215"/>
    </row>
    <row r="24" spans="1:5" ht="15.75">
      <c r="A24" s="62"/>
      <c r="B24" s="52"/>
      <c r="C24" s="52"/>
      <c r="D24" s="52"/>
    </row>
    <row r="25" spans="1:5" ht="15.75">
      <c r="A25" s="223" t="s">
        <v>23</v>
      </c>
      <c r="B25" s="223"/>
      <c r="C25" s="223"/>
      <c r="D25" s="223"/>
    </row>
    <row r="26" spans="1:5" ht="16.5" thickBot="1">
      <c r="A26" s="52"/>
      <c r="B26" s="63" t="s">
        <v>71</v>
      </c>
      <c r="C26" s="52"/>
      <c r="D26" s="52"/>
    </row>
    <row r="27" spans="1:5" ht="16.5" thickBot="1">
      <c r="A27" s="56" t="s">
        <v>24</v>
      </c>
      <c r="B27" s="57" t="s">
        <v>25</v>
      </c>
      <c r="C27" s="56" t="s">
        <v>72</v>
      </c>
      <c r="D27" s="57" t="s">
        <v>11</v>
      </c>
      <c r="E27" s="52"/>
    </row>
    <row r="28" spans="1:5" ht="16.5" thickBot="1">
      <c r="A28" s="58" t="s">
        <v>12</v>
      </c>
      <c r="B28" s="4" t="s">
        <v>245</v>
      </c>
      <c r="C28" s="64">
        <v>8.3333329999999997E-2</v>
      </c>
      <c r="D28" s="65">
        <f>D20*C28</f>
        <v>232.04999071799998</v>
      </c>
      <c r="E28" s="59"/>
    </row>
    <row r="29" spans="1:5" ht="16.5" thickBot="1">
      <c r="A29" s="58" t="s">
        <v>14</v>
      </c>
      <c r="B29" s="4" t="s">
        <v>148</v>
      </c>
      <c r="C29" s="66">
        <f>((1/12)+(1/3/12))</f>
        <v>0.1111111111111111</v>
      </c>
      <c r="D29" s="65">
        <f>D20*C29</f>
        <v>309.39999999999998</v>
      </c>
      <c r="E29" s="59"/>
    </row>
    <row r="30" spans="1:5" ht="16.5" thickBot="1">
      <c r="A30" s="220" t="s">
        <v>1</v>
      </c>
      <c r="B30" s="224"/>
      <c r="C30" s="67">
        <f>SUM(C28:C29)</f>
        <v>0.19444444111111109</v>
      </c>
      <c r="D30" s="68">
        <f>SUM(D28:D29)</f>
        <v>541.44999071799998</v>
      </c>
      <c r="E30" s="52"/>
    </row>
    <row r="31" spans="1:5" ht="15.75">
      <c r="A31" s="52"/>
      <c r="B31" s="52"/>
      <c r="C31" s="52"/>
      <c r="D31" s="52"/>
    </row>
    <row r="32" spans="1:5" ht="15.75">
      <c r="A32" s="225" t="s">
        <v>26</v>
      </c>
      <c r="B32" s="225"/>
      <c r="C32" s="225"/>
      <c r="D32" s="225"/>
    </row>
    <row r="33" spans="1:5" ht="16.5" thickBot="1">
      <c r="A33" s="52"/>
      <c r="B33" s="63" t="s">
        <v>70</v>
      </c>
      <c r="C33" s="52"/>
      <c r="D33" s="52"/>
    </row>
    <row r="34" spans="1:5" ht="16.5" thickBot="1">
      <c r="A34" s="56" t="s">
        <v>27</v>
      </c>
      <c r="B34" s="57" t="s">
        <v>28</v>
      </c>
      <c r="C34" s="57" t="s">
        <v>29</v>
      </c>
      <c r="D34" s="57" t="s">
        <v>11</v>
      </c>
    </row>
    <row r="35" spans="1:5" ht="16.5" thickBot="1">
      <c r="A35" s="58" t="s">
        <v>12</v>
      </c>
      <c r="B35" s="4" t="s">
        <v>30</v>
      </c>
      <c r="C35" s="69">
        <v>0.2</v>
      </c>
      <c r="D35" s="65">
        <f>($D$20+$D$30)*C35</f>
        <v>665.20999814360005</v>
      </c>
    </row>
    <row r="36" spans="1:5" ht="14.25" customHeight="1" thickBot="1">
      <c r="A36" s="58" t="s">
        <v>14</v>
      </c>
      <c r="B36" s="4" t="s">
        <v>31</v>
      </c>
      <c r="C36" s="69">
        <v>2.5000000000000001E-2</v>
      </c>
      <c r="D36" s="65">
        <f t="shared" ref="D36:D42" si="0">($D$20+$D$30)*C36</f>
        <v>83.151249767950006</v>
      </c>
      <c r="E36" s="143"/>
    </row>
    <row r="37" spans="1:5" ht="16.5" thickBot="1">
      <c r="A37" s="58" t="s">
        <v>16</v>
      </c>
      <c r="B37" s="4" t="s">
        <v>67</v>
      </c>
      <c r="C37" s="69">
        <v>0.03</v>
      </c>
      <c r="D37" s="65">
        <f t="shared" si="0"/>
        <v>99.781499721540001</v>
      </c>
    </row>
    <row r="38" spans="1:5" ht="16.5" thickBot="1">
      <c r="A38" s="58" t="s">
        <v>17</v>
      </c>
      <c r="B38" s="4" t="s">
        <v>32</v>
      </c>
      <c r="C38" s="69">
        <v>1.4999999999999999E-2</v>
      </c>
      <c r="D38" s="65">
        <f t="shared" si="0"/>
        <v>49.890749860770001</v>
      </c>
    </row>
    <row r="39" spans="1:5" ht="16.5" thickBot="1">
      <c r="A39" s="58" t="s">
        <v>18</v>
      </c>
      <c r="B39" s="4" t="s">
        <v>33</v>
      </c>
      <c r="C39" s="69">
        <v>0.01</v>
      </c>
      <c r="D39" s="65">
        <f t="shared" si="0"/>
        <v>33.260499907180005</v>
      </c>
    </row>
    <row r="40" spans="1:5" ht="16.5" thickBot="1">
      <c r="A40" s="58" t="s">
        <v>20</v>
      </c>
      <c r="B40" s="4" t="s">
        <v>2</v>
      </c>
      <c r="C40" s="69">
        <v>6.0000000000000001E-3</v>
      </c>
      <c r="D40" s="65">
        <f t="shared" si="0"/>
        <v>19.956299944308</v>
      </c>
      <c r="E40" s="143"/>
    </row>
    <row r="41" spans="1:5" ht="16.5" thickBot="1">
      <c r="A41" s="58" t="s">
        <v>21</v>
      </c>
      <c r="B41" s="4" t="s">
        <v>3</v>
      </c>
      <c r="C41" s="69">
        <v>2E-3</v>
      </c>
      <c r="D41" s="65">
        <f t="shared" si="0"/>
        <v>6.6520999814360007</v>
      </c>
      <c r="E41" s="143"/>
    </row>
    <row r="42" spans="1:5" ht="15.75" customHeight="1" thickBot="1">
      <c r="A42" s="58" t="s">
        <v>34</v>
      </c>
      <c r="B42" s="4" t="s">
        <v>4</v>
      </c>
      <c r="C42" s="69">
        <v>0.08</v>
      </c>
      <c r="D42" s="65">
        <f t="shared" si="0"/>
        <v>266.08399925744004</v>
      </c>
      <c r="E42" s="144"/>
    </row>
    <row r="43" spans="1:5" ht="16.5" thickBot="1">
      <c r="A43" s="220" t="s">
        <v>35</v>
      </c>
      <c r="B43" s="224"/>
      <c r="C43" s="73">
        <f>SUM(C35:C42)</f>
        <v>0.36800000000000005</v>
      </c>
      <c r="D43" s="68">
        <f>SUM(D35:D42)</f>
        <v>1223.9863965842242</v>
      </c>
    </row>
    <row r="44" spans="1:5" ht="15.75">
      <c r="A44" s="52"/>
      <c r="B44" s="52"/>
      <c r="C44" s="52"/>
      <c r="D44" s="52"/>
    </row>
    <row r="45" spans="1:5" ht="15.75">
      <c r="A45" s="223" t="s">
        <v>36</v>
      </c>
      <c r="B45" s="223"/>
      <c r="C45" s="223"/>
      <c r="D45" s="223"/>
    </row>
    <row r="46" spans="1:5" ht="16.5" thickBot="1">
      <c r="A46" s="52"/>
      <c r="B46" s="63" t="s">
        <v>69</v>
      </c>
      <c r="C46" s="52"/>
      <c r="D46" s="52"/>
    </row>
    <row r="47" spans="1:5" ht="16.5" thickBot="1">
      <c r="A47" s="56" t="s">
        <v>37</v>
      </c>
      <c r="B47" s="57" t="s">
        <v>38</v>
      </c>
      <c r="C47" s="74" t="s">
        <v>232</v>
      </c>
      <c r="D47" s="57" t="s">
        <v>11</v>
      </c>
      <c r="E47" s="52"/>
    </row>
    <row r="48" spans="1:5" ht="16.5" thickBot="1">
      <c r="A48" s="58" t="s">
        <v>12</v>
      </c>
      <c r="B48" s="4" t="s">
        <v>228</v>
      </c>
      <c r="C48" s="75" t="s">
        <v>154</v>
      </c>
      <c r="D48" s="54">
        <f>'VA Dia'!D48</f>
        <v>135</v>
      </c>
      <c r="E48" s="52"/>
    </row>
    <row r="49" spans="1:5" ht="18" customHeight="1" thickBot="1">
      <c r="A49" s="58"/>
      <c r="B49" s="4" t="s">
        <v>68</v>
      </c>
      <c r="C49" s="78">
        <f>CCT!D31</f>
        <v>0.06</v>
      </c>
      <c r="D49" s="54">
        <f>-($D$12*C49)</f>
        <v>-100.8</v>
      </c>
      <c r="E49" s="52"/>
    </row>
    <row r="50" spans="1:5" ht="16.5" thickBot="1">
      <c r="A50" s="58" t="s">
        <v>14</v>
      </c>
      <c r="B50" s="4" t="s">
        <v>233</v>
      </c>
      <c r="C50" s="75" t="str">
        <f>'VA Dia'!C50</f>
        <v>R$31,20*15</v>
      </c>
      <c r="D50" s="76">
        <f>15*CCT!C30</f>
        <v>468</v>
      </c>
      <c r="E50" s="52"/>
    </row>
    <row r="51" spans="1:5" ht="16.5" thickBot="1">
      <c r="A51" s="58"/>
      <c r="B51" s="4" t="s">
        <v>151</v>
      </c>
      <c r="C51" s="78">
        <f>CCT!D30</f>
        <v>0.05</v>
      </c>
      <c r="D51" s="54">
        <f>-C51*D50</f>
        <v>-23.400000000000002</v>
      </c>
      <c r="E51" s="52"/>
    </row>
    <row r="52" spans="1:5" ht="16.5" thickBot="1">
      <c r="A52" s="79" t="s">
        <v>16</v>
      </c>
      <c r="B52" s="80" t="s">
        <v>125</v>
      </c>
      <c r="C52" s="4"/>
      <c r="D52" s="54">
        <v>0</v>
      </c>
      <c r="E52" s="52"/>
    </row>
    <row r="53" spans="1:5" ht="16.5" thickBot="1">
      <c r="A53" s="58" t="s">
        <v>17</v>
      </c>
      <c r="B53" s="4" t="s">
        <v>236</v>
      </c>
      <c r="C53" s="145"/>
      <c r="D53" s="82">
        <f>CCT!C32</f>
        <v>136.88999999999999</v>
      </c>
      <c r="E53" s="83"/>
    </row>
    <row r="54" spans="1:5" ht="16.5" thickBot="1">
      <c r="A54" s="58"/>
      <c r="B54" s="4" t="s">
        <v>152</v>
      </c>
      <c r="C54" s="84">
        <f>CCT!D32</f>
        <v>0.05</v>
      </c>
      <c r="D54" s="54">
        <f>-CCT!C32*CCT!D32</f>
        <v>-6.8445</v>
      </c>
      <c r="E54" s="83"/>
    </row>
    <row r="55" spans="1:5" ht="16.5" thickBot="1">
      <c r="A55" s="58" t="s">
        <v>18</v>
      </c>
      <c r="B55" s="4" t="s">
        <v>197</v>
      </c>
      <c r="C55" s="4"/>
      <c r="D55" s="81">
        <f>CCT!C33</f>
        <v>12</v>
      </c>
      <c r="E55" s="52"/>
    </row>
    <row r="56" spans="1:5" ht="16.5" thickBot="1">
      <c r="A56" s="58" t="s">
        <v>20</v>
      </c>
      <c r="B56" s="4" t="s">
        <v>239</v>
      </c>
      <c r="C56" s="86">
        <f>CCT!D33</f>
        <v>0.5</v>
      </c>
      <c r="D56" s="54">
        <f>-C56*D55</f>
        <v>-6</v>
      </c>
      <c r="E56" s="52"/>
    </row>
    <row r="57" spans="1:5" ht="16.5" thickBot="1">
      <c r="A57" s="220" t="s">
        <v>1</v>
      </c>
      <c r="B57" s="224"/>
      <c r="C57" s="87"/>
      <c r="D57" s="18">
        <f>SUM(D48:D56)</f>
        <v>614.84550000000002</v>
      </c>
      <c r="E57" s="52"/>
    </row>
    <row r="58" spans="1:5" ht="15.75">
      <c r="A58" s="52"/>
      <c r="B58" s="52"/>
      <c r="C58" s="52"/>
      <c r="D58" s="52"/>
    </row>
    <row r="59" spans="1:5" ht="15.75">
      <c r="A59" s="223" t="s">
        <v>39</v>
      </c>
      <c r="B59" s="223"/>
      <c r="C59" s="223"/>
      <c r="D59" s="52"/>
    </row>
    <row r="60" spans="1:5" ht="16.5" thickBot="1">
      <c r="A60" s="52"/>
      <c r="B60" s="88" t="s">
        <v>246</v>
      </c>
      <c r="C60" s="52"/>
      <c r="D60" s="52"/>
    </row>
    <row r="61" spans="1:5" ht="16.5" thickBot="1">
      <c r="A61" s="56">
        <v>2</v>
      </c>
      <c r="B61" s="57" t="s">
        <v>40</v>
      </c>
      <c r="C61" s="57" t="s">
        <v>11</v>
      </c>
      <c r="D61" s="52"/>
    </row>
    <row r="62" spans="1:5" ht="16.5" thickBot="1">
      <c r="A62" s="58" t="s">
        <v>24</v>
      </c>
      <c r="B62" s="4" t="s">
        <v>25</v>
      </c>
      <c r="C62" s="65">
        <f>D30</f>
        <v>541.44999071799998</v>
      </c>
      <c r="D62" s="52"/>
    </row>
    <row r="63" spans="1:5" ht="16.5" thickBot="1">
      <c r="A63" s="58" t="s">
        <v>27</v>
      </c>
      <c r="B63" s="4" t="s">
        <v>28</v>
      </c>
      <c r="C63" s="65">
        <f>D43</f>
        <v>1223.9863965842242</v>
      </c>
      <c r="D63" s="52"/>
    </row>
    <row r="64" spans="1:5" ht="16.5" thickBot="1">
      <c r="A64" s="58" t="s">
        <v>37</v>
      </c>
      <c r="B64" s="4" t="s">
        <v>38</v>
      </c>
      <c r="C64" s="65">
        <f>D57</f>
        <v>614.84550000000002</v>
      </c>
      <c r="D64" s="52"/>
    </row>
    <row r="65" spans="1:5" ht="16.5" thickBot="1">
      <c r="A65" s="226" t="s">
        <v>1</v>
      </c>
      <c r="B65" s="227"/>
      <c r="C65" s="89">
        <f>SUM(C62:C64)</f>
        <v>2380.2818873022243</v>
      </c>
      <c r="D65" s="52"/>
    </row>
    <row r="66" spans="1:5" ht="15.75">
      <c r="A66" s="90"/>
      <c r="B66" s="52"/>
      <c r="C66" s="52"/>
      <c r="D66" s="52"/>
    </row>
    <row r="67" spans="1:5" ht="15.75">
      <c r="A67" s="215" t="s">
        <v>41</v>
      </c>
      <c r="B67" s="215"/>
      <c r="C67" s="215"/>
      <c r="D67" s="215"/>
    </row>
    <row r="68" spans="1:5" ht="16.5" thickBot="1">
      <c r="A68" s="228" t="s">
        <v>142</v>
      </c>
      <c r="B68" s="228"/>
      <c r="C68" s="228"/>
      <c r="D68" s="228"/>
    </row>
    <row r="69" spans="1:5" ht="16.5" thickBot="1">
      <c r="A69" s="56">
        <v>3</v>
      </c>
      <c r="B69" s="57" t="s">
        <v>42</v>
      </c>
      <c r="C69" s="56" t="s">
        <v>72</v>
      </c>
      <c r="D69" s="56" t="s">
        <v>11</v>
      </c>
      <c r="E69" s="146"/>
    </row>
    <row r="70" spans="1:5" ht="16.5" thickBot="1">
      <c r="A70" s="58" t="s">
        <v>12</v>
      </c>
      <c r="B70" s="93" t="s">
        <v>43</v>
      </c>
      <c r="C70" s="94">
        <f>(100%*(1/12)*5%)*100%</f>
        <v>4.1666666666666666E-3</v>
      </c>
      <c r="D70" s="95">
        <f>C70*$D$20</f>
        <v>11.602499999999999</v>
      </c>
      <c r="E70" s="147"/>
    </row>
    <row r="71" spans="1:5" ht="16.5" thickBot="1">
      <c r="A71" s="58" t="s">
        <v>14</v>
      </c>
      <c r="B71" s="93" t="s">
        <v>44</v>
      </c>
      <c r="C71" s="97">
        <f>C70*C42</f>
        <v>3.3333333333333332E-4</v>
      </c>
      <c r="D71" s="95">
        <f t="shared" ref="D71:D75" si="1">C71*$D$20</f>
        <v>0.92819999999999991</v>
      </c>
      <c r="E71" s="147"/>
    </row>
    <row r="72" spans="1:5" ht="32.25" thickBot="1">
      <c r="A72" s="58" t="s">
        <v>16</v>
      </c>
      <c r="B72" s="93" t="s">
        <v>45</v>
      </c>
      <c r="C72" s="98">
        <f>C71*40%</f>
        <v>1.3333333333333334E-4</v>
      </c>
      <c r="D72" s="95">
        <f t="shared" si="1"/>
        <v>0.37128</v>
      </c>
      <c r="E72" s="52"/>
    </row>
    <row r="73" spans="1:5" ht="16.5" thickBot="1">
      <c r="A73" s="58" t="s">
        <v>17</v>
      </c>
      <c r="B73" s="93" t="s">
        <v>46</v>
      </c>
      <c r="C73" s="99">
        <f>((7/30)/12)</f>
        <v>1.9444444444444445E-2</v>
      </c>
      <c r="D73" s="95">
        <f t="shared" si="1"/>
        <v>54.144999999999996</v>
      </c>
      <c r="E73" s="52"/>
    </row>
    <row r="74" spans="1:5" ht="32.25" thickBot="1">
      <c r="A74" s="58" t="s">
        <v>18</v>
      </c>
      <c r="B74" s="93" t="s">
        <v>78</v>
      </c>
      <c r="C74" s="98">
        <f>C43*C73</f>
        <v>7.1555555555555565E-3</v>
      </c>
      <c r="D74" s="95">
        <f t="shared" si="1"/>
        <v>19.925360000000001</v>
      </c>
      <c r="E74" s="52"/>
    </row>
    <row r="75" spans="1:5" ht="32.25" thickBot="1">
      <c r="A75" s="58" t="s">
        <v>20</v>
      </c>
      <c r="B75" s="93" t="s">
        <v>47</v>
      </c>
      <c r="C75" s="98">
        <f>((100%+8.33%+11.11%)*8%*40%+0.18%)</f>
        <v>4.0020800000000002E-2</v>
      </c>
      <c r="D75" s="95">
        <f t="shared" si="1"/>
        <v>111.44191968</v>
      </c>
      <c r="E75" s="52"/>
    </row>
    <row r="76" spans="1:5" ht="16.5" thickBot="1">
      <c r="A76" s="229" t="s">
        <v>1</v>
      </c>
      <c r="B76" s="230"/>
      <c r="C76" s="100">
        <f>SUM(C70:C75)</f>
        <v>7.125413333333333E-2</v>
      </c>
      <c r="D76" s="148">
        <f>SUM(D70:D75)</f>
        <v>198.41425967999999</v>
      </c>
      <c r="E76" s="52"/>
    </row>
    <row r="77" spans="1:5" ht="15.75">
      <c r="A77" s="52"/>
      <c r="B77" s="52"/>
      <c r="C77" s="103"/>
      <c r="D77" s="52"/>
    </row>
    <row r="78" spans="1:5" ht="15.75">
      <c r="A78" s="215" t="s">
        <v>48</v>
      </c>
      <c r="B78" s="215"/>
      <c r="C78" s="215"/>
      <c r="D78" s="215"/>
    </row>
    <row r="79" spans="1:5">
      <c r="A79" s="233"/>
      <c r="B79" s="233"/>
      <c r="C79" s="233"/>
      <c r="D79" s="233"/>
    </row>
    <row r="80" spans="1:5" ht="15.75">
      <c r="A80" s="223" t="s">
        <v>49</v>
      </c>
      <c r="B80" s="223"/>
      <c r="C80" s="223"/>
      <c r="D80" s="223"/>
      <c r="E80" s="106" t="s">
        <v>176</v>
      </c>
    </row>
    <row r="81" spans="1:5" ht="12.6" customHeight="1" thickBot="1">
      <c r="D81" s="59"/>
    </row>
    <row r="82" spans="1:5" ht="16.5" thickBot="1">
      <c r="A82" s="56" t="s">
        <v>50</v>
      </c>
      <c r="B82" s="57" t="s">
        <v>51</v>
      </c>
      <c r="C82" s="56" t="s">
        <v>72</v>
      </c>
      <c r="D82" s="57" t="s">
        <v>11</v>
      </c>
      <c r="E82" s="52"/>
    </row>
    <row r="83" spans="1:5" ht="16.5" thickBot="1">
      <c r="A83" s="58" t="s">
        <v>12</v>
      </c>
      <c r="B83" s="4" t="s">
        <v>150</v>
      </c>
      <c r="C83" s="107">
        <f>((((1/12/12))+(((1/12/12)/3))*100%))</f>
        <v>9.2592592592592587E-3</v>
      </c>
      <c r="D83" s="65">
        <f>($D$20+$D$30+$D$43)*C83*0</f>
        <v>0</v>
      </c>
      <c r="E83" s="59"/>
    </row>
    <row r="84" spans="1:5" ht="16.5" thickBot="1">
      <c r="A84" s="58" t="s">
        <v>14</v>
      </c>
      <c r="B84" s="4" t="s">
        <v>137</v>
      </c>
      <c r="C84" s="107">
        <f>((2/30)/12)*100%</f>
        <v>5.5555555555555558E-3</v>
      </c>
      <c r="D84" s="65">
        <f t="shared" ref="D84:D87" si="2">($D$20+$D$30+$D$43)*C84</f>
        <v>25.277979929456802</v>
      </c>
      <c r="E84" s="52"/>
    </row>
    <row r="85" spans="1:5" ht="16.5" thickBot="1">
      <c r="A85" s="58" t="s">
        <v>16</v>
      </c>
      <c r="B85" s="4" t="s">
        <v>138</v>
      </c>
      <c r="C85" s="110">
        <f>(((5/30)/12)*0.015)*100%</f>
        <v>2.0833333333333332E-4</v>
      </c>
      <c r="D85" s="65">
        <f t="shared" si="2"/>
        <v>0.94792424735462999</v>
      </c>
      <c r="E85" s="109"/>
    </row>
    <row r="86" spans="1:5" ht="16.5" thickBot="1">
      <c r="A86" s="58" t="s">
        <v>18</v>
      </c>
      <c r="B86" s="4" t="s">
        <v>139</v>
      </c>
      <c r="C86" s="110">
        <f>(((15/30)/12)*0.08)*100%</f>
        <v>3.3333333333333331E-3</v>
      </c>
      <c r="D86" s="65">
        <f>($D$20+$D$30+$D$43)*C86</f>
        <v>15.16678795767408</v>
      </c>
      <c r="E86" s="52"/>
    </row>
    <row r="87" spans="1:5" ht="16.5" thickBot="1">
      <c r="A87" s="58" t="s">
        <v>17</v>
      </c>
      <c r="B87" s="111" t="s">
        <v>140</v>
      </c>
      <c r="C87" s="112">
        <f>((4/12)/12*0.02*100%)</f>
        <v>5.5555555555555556E-4</v>
      </c>
      <c r="D87" s="65">
        <f t="shared" si="2"/>
        <v>2.52779799294568</v>
      </c>
      <c r="E87" s="52"/>
    </row>
    <row r="88" spans="1:5" ht="16.5" thickBot="1">
      <c r="A88" s="58" t="s">
        <v>20</v>
      </c>
      <c r="B88" s="4" t="s">
        <v>141</v>
      </c>
      <c r="C88" s="110">
        <v>0</v>
      </c>
      <c r="D88" s="65">
        <f t="shared" ref="D88" si="3">$D$19*C88</f>
        <v>0</v>
      </c>
      <c r="E88" s="59"/>
    </row>
    <row r="89" spans="1:5" ht="16.5" thickBot="1">
      <c r="A89" s="216" t="s">
        <v>35</v>
      </c>
      <c r="B89" s="232"/>
      <c r="C89" s="113">
        <f>SUM(C83:C88)</f>
        <v>1.8912037037037036E-2</v>
      </c>
      <c r="D89" s="114">
        <f>SUM(D83:D88)</f>
        <v>43.920490127431194</v>
      </c>
      <c r="E89" s="52"/>
    </row>
    <row r="90" spans="1:5" ht="15.75">
      <c r="A90" s="52"/>
      <c r="B90" s="52"/>
      <c r="C90" s="52"/>
      <c r="D90" s="52"/>
    </row>
    <row r="91" spans="1:5" ht="15.75">
      <c r="A91" s="223" t="s">
        <v>52</v>
      </c>
      <c r="B91" s="223"/>
      <c r="C91" s="223"/>
      <c r="D91" s="223"/>
    </row>
    <row r="92" spans="1:5" ht="16.5" thickBot="1">
      <c r="A92" s="62"/>
      <c r="B92" s="52"/>
      <c r="C92" s="52"/>
      <c r="D92" s="52"/>
    </row>
    <row r="93" spans="1:5" ht="16.5" thickBot="1">
      <c r="A93" s="56" t="s">
        <v>53</v>
      </c>
      <c r="B93" s="57" t="s">
        <v>54</v>
      </c>
      <c r="C93" s="56" t="s">
        <v>72</v>
      </c>
      <c r="D93" s="57" t="s">
        <v>11</v>
      </c>
      <c r="E93" s="52"/>
    </row>
    <row r="94" spans="1:5" ht="16.5" thickBot="1">
      <c r="A94" s="58" t="s">
        <v>12</v>
      </c>
      <c r="B94" s="4" t="s">
        <v>66</v>
      </c>
      <c r="C94" s="115" t="s">
        <v>179</v>
      </c>
      <c r="D94" s="116">
        <f>(($D$20/180)*1.5)*15</f>
        <v>348.07499999999999</v>
      </c>
      <c r="E94" s="52"/>
    </row>
    <row r="95" spans="1:5" ht="16.5" thickBot="1">
      <c r="A95" s="216" t="s">
        <v>1</v>
      </c>
      <c r="B95" s="232"/>
      <c r="C95" s="117"/>
      <c r="D95" s="118">
        <f>SUM(D94)</f>
        <v>348.07499999999999</v>
      </c>
      <c r="E95" s="52"/>
    </row>
    <row r="96" spans="1:5" ht="15.75">
      <c r="A96" s="52"/>
      <c r="B96" s="52"/>
      <c r="C96" s="52"/>
      <c r="D96" s="52"/>
      <c r="E96" s="52"/>
    </row>
    <row r="97" spans="1:5" ht="15.75">
      <c r="A97" s="223" t="s">
        <v>55</v>
      </c>
      <c r="B97" s="223"/>
      <c r="C97" s="223"/>
    </row>
    <row r="98" spans="1:5" ht="16.5" thickBot="1">
      <c r="A98" s="62"/>
      <c r="B98" s="52"/>
      <c r="C98" s="52"/>
    </row>
    <row r="99" spans="1:5" ht="16.5" thickBot="1">
      <c r="A99" s="56">
        <v>4</v>
      </c>
      <c r="B99" s="57" t="s">
        <v>56</v>
      </c>
      <c r="C99" s="57" t="s">
        <v>11</v>
      </c>
      <c r="D99" s="52"/>
    </row>
    <row r="100" spans="1:5" ht="16.5" thickBot="1">
      <c r="A100" s="58" t="s">
        <v>50</v>
      </c>
      <c r="B100" s="4" t="s">
        <v>51</v>
      </c>
      <c r="C100" s="54">
        <f>D89</f>
        <v>43.920490127431194</v>
      </c>
      <c r="D100" s="52"/>
    </row>
    <row r="101" spans="1:5" ht="16.5" thickBot="1">
      <c r="A101" s="58" t="s">
        <v>53</v>
      </c>
      <c r="B101" s="4" t="s">
        <v>54</v>
      </c>
      <c r="C101" s="54">
        <f>D95</f>
        <v>348.07499999999999</v>
      </c>
      <c r="D101" s="52"/>
    </row>
    <row r="102" spans="1:5" ht="15.75" customHeight="1" thickBot="1">
      <c r="A102" s="216" t="s">
        <v>1</v>
      </c>
      <c r="B102" s="232"/>
      <c r="C102" s="118">
        <f>SUM(C100:C101)</f>
        <v>391.9954901274312</v>
      </c>
      <c r="D102" s="52"/>
    </row>
    <row r="103" spans="1:5" ht="15.75">
      <c r="A103" s="52"/>
      <c r="B103" s="52"/>
      <c r="C103" s="52"/>
      <c r="D103" s="52"/>
    </row>
    <row r="104" spans="1:5" ht="15.75">
      <c r="A104" s="231" t="s">
        <v>57</v>
      </c>
      <c r="B104" s="231"/>
      <c r="C104" s="231"/>
    </row>
    <row r="105" spans="1:5" ht="16.5" thickBot="1">
      <c r="A105" s="52"/>
      <c r="B105" s="52"/>
      <c r="C105" s="52"/>
    </row>
    <row r="106" spans="1:5" ht="16.5" thickBot="1">
      <c r="A106" s="56">
        <v>5</v>
      </c>
      <c r="B106" s="119" t="s">
        <v>5</v>
      </c>
      <c r="C106" s="57" t="s">
        <v>11</v>
      </c>
      <c r="D106" s="52"/>
    </row>
    <row r="107" spans="1:5" ht="16.5" thickBot="1">
      <c r="A107" s="58" t="s">
        <v>12</v>
      </c>
      <c r="B107" s="4" t="s">
        <v>58</v>
      </c>
      <c r="C107" s="54">
        <f>'VA Dia'!C108</f>
        <v>74.84</v>
      </c>
      <c r="D107" s="52"/>
    </row>
    <row r="108" spans="1:5" ht="16.5" thickBot="1">
      <c r="A108" s="58" t="s">
        <v>14</v>
      </c>
      <c r="B108" s="4" t="s">
        <v>126</v>
      </c>
      <c r="C108" s="54">
        <f>'VA Dia'!C109</f>
        <v>152.53421778771545</v>
      </c>
      <c r="D108" s="52"/>
    </row>
    <row r="109" spans="1:5" ht="16.5" thickBot="1">
      <c r="A109" s="58" t="s">
        <v>16</v>
      </c>
      <c r="B109" s="4" t="s">
        <v>127</v>
      </c>
      <c r="C109" s="14"/>
      <c r="E109" s="52"/>
    </row>
    <row r="110" spans="1:5" ht="16.5" thickBot="1">
      <c r="A110" s="58" t="s">
        <v>17</v>
      </c>
      <c r="B110" s="4" t="s">
        <v>84</v>
      </c>
      <c r="C110" s="54"/>
      <c r="D110" s="52"/>
    </row>
    <row r="111" spans="1:5" ht="16.5" thickBot="1">
      <c r="A111" s="216" t="s">
        <v>35</v>
      </c>
      <c r="B111" s="232"/>
      <c r="C111" s="118">
        <f>SUM(C107:C110)</f>
        <v>227.37421778771545</v>
      </c>
      <c r="D111" s="52"/>
    </row>
    <row r="112" spans="1:5" ht="15.75">
      <c r="A112" s="52"/>
      <c r="B112" s="52"/>
      <c r="C112" s="52"/>
      <c r="D112" s="52"/>
    </row>
    <row r="113" spans="1:5" ht="15.75">
      <c r="A113" s="231" t="s">
        <v>59</v>
      </c>
      <c r="B113" s="231"/>
      <c r="C113" s="231"/>
      <c r="D113" s="231"/>
    </row>
    <row r="114" spans="1:5" ht="16.5" thickBot="1">
      <c r="A114" s="52"/>
      <c r="B114" s="52"/>
      <c r="C114" s="52"/>
      <c r="D114" s="52"/>
    </row>
    <row r="115" spans="1:5" ht="16.5" thickBot="1">
      <c r="A115" s="56">
        <v>6</v>
      </c>
      <c r="B115" s="119" t="s">
        <v>6</v>
      </c>
      <c r="C115" s="57" t="s">
        <v>29</v>
      </c>
      <c r="D115" s="121" t="s">
        <v>11</v>
      </c>
      <c r="E115" s="122"/>
    </row>
    <row r="116" spans="1:5" ht="16.5" thickBot="1">
      <c r="A116" s="58" t="s">
        <v>12</v>
      </c>
      <c r="B116" s="4" t="s">
        <v>7</v>
      </c>
      <c r="C116" s="110">
        <f>'VA Dia'!C117</f>
        <v>0.05</v>
      </c>
      <c r="D116" s="123">
        <f>$C$133*C116</f>
        <v>299.13329274486858</v>
      </c>
      <c r="E116" s="124"/>
    </row>
    <row r="117" spans="1:5" ht="16.5" thickBot="1">
      <c r="A117" s="58" t="s">
        <v>14</v>
      </c>
      <c r="B117" s="4" t="s">
        <v>8</v>
      </c>
      <c r="C117" s="110">
        <f>'VA Dia'!C118</f>
        <v>6.7900000000000002E-2</v>
      </c>
      <c r="D117" s="123">
        <f>($C$133+$D$116)*C117</f>
        <v>426.53416212490811</v>
      </c>
      <c r="E117" s="124"/>
    </row>
    <row r="118" spans="1:5" ht="16.5" thickBot="1">
      <c r="A118" s="58" t="s">
        <v>16</v>
      </c>
      <c r="B118" s="4" t="s">
        <v>75</v>
      </c>
      <c r="C118" s="125">
        <f>C119+C120+C121</f>
        <v>8.6499999999999994E-2</v>
      </c>
      <c r="D118" s="123"/>
      <c r="E118" s="124"/>
    </row>
    <row r="119" spans="1:5" ht="16.5" thickBot="1">
      <c r="A119" s="58"/>
      <c r="B119" s="4" t="s">
        <v>73</v>
      </c>
      <c r="C119" s="110">
        <v>6.4999999999999997E-3</v>
      </c>
      <c r="D119" s="126">
        <f>(($C$133+$D$116+$D$117)/1-$C$118)*C119+0.14</f>
        <v>43.743604263486461</v>
      </c>
    </row>
    <row r="120" spans="1:5" ht="16.5" thickBot="1">
      <c r="A120" s="58"/>
      <c r="B120" s="4" t="s">
        <v>74</v>
      </c>
      <c r="C120" s="127">
        <v>0.03</v>
      </c>
      <c r="D120" s="126">
        <f>(($C$133+$D$116+$D$117)/1-$C$118)*C120</f>
        <v>201.24740429301443</v>
      </c>
    </row>
    <row r="121" spans="1:5" ht="16.5" thickBot="1">
      <c r="A121" s="58"/>
      <c r="B121" s="4" t="s">
        <v>60</v>
      </c>
      <c r="C121" s="110">
        <v>0.05</v>
      </c>
      <c r="D121" s="126">
        <f>(($C$133+$D$116+$D$117)/1-$C$118)*C121</f>
        <v>335.41234048835742</v>
      </c>
    </row>
    <row r="122" spans="1:5" ht="16.5" thickBot="1">
      <c r="A122" s="216" t="s">
        <v>35</v>
      </c>
      <c r="B122" s="232"/>
      <c r="C122" s="129">
        <f>SUM(C116:C121)-C118</f>
        <v>0.2044</v>
      </c>
      <c r="D122" s="118">
        <f>SUM(D116:D121)</f>
        <v>1306.070803914635</v>
      </c>
    </row>
    <row r="123" spans="1:5" ht="15.75">
      <c r="A123" s="130"/>
      <c r="B123" s="130"/>
      <c r="C123" s="131"/>
      <c r="D123" s="132"/>
    </row>
    <row r="124" spans="1:5" ht="15.75">
      <c r="A124" s="133"/>
      <c r="B124" s="134"/>
      <c r="C124" s="135"/>
      <c r="D124" s="136"/>
      <c r="E124" s="136"/>
    </row>
    <row r="125" spans="1:5" ht="15.75">
      <c r="A125" s="231" t="s">
        <v>61</v>
      </c>
      <c r="B125" s="231"/>
      <c r="C125" s="231"/>
      <c r="D125" s="52"/>
    </row>
    <row r="126" spans="1:5" ht="16.5" thickBot="1">
      <c r="A126" s="52"/>
      <c r="B126" s="52"/>
      <c r="C126" s="52"/>
      <c r="D126" s="52"/>
    </row>
    <row r="127" spans="1:5" ht="32.25" thickBot="1">
      <c r="A127" s="56"/>
      <c r="B127" s="57" t="s">
        <v>62</v>
      </c>
      <c r="C127" s="57" t="s">
        <v>11</v>
      </c>
      <c r="D127" s="52"/>
      <c r="E127" s="137"/>
    </row>
    <row r="128" spans="1:5" ht="16.5" thickBot="1">
      <c r="A128" s="138" t="s">
        <v>12</v>
      </c>
      <c r="B128" s="4" t="s">
        <v>9</v>
      </c>
      <c r="C128" s="139">
        <f>D19</f>
        <v>2784.6</v>
      </c>
      <c r="D128" s="52"/>
      <c r="E128" s="61"/>
    </row>
    <row r="129" spans="1:4" ht="16.5" thickBot="1">
      <c r="A129" s="138" t="s">
        <v>14</v>
      </c>
      <c r="B129" s="4" t="s">
        <v>22</v>
      </c>
      <c r="C129" s="139">
        <f>C65</f>
        <v>2380.2818873022243</v>
      </c>
      <c r="D129" s="52"/>
    </row>
    <row r="130" spans="1:4" ht="16.5" thickBot="1">
      <c r="A130" s="138" t="s">
        <v>16</v>
      </c>
      <c r="B130" s="4" t="s">
        <v>41</v>
      </c>
      <c r="C130" s="139">
        <f>D76</f>
        <v>198.41425967999999</v>
      </c>
      <c r="D130" s="52"/>
    </row>
    <row r="131" spans="1:4" ht="16.5" thickBot="1">
      <c r="A131" s="138" t="s">
        <v>17</v>
      </c>
      <c r="B131" s="4" t="s">
        <v>48</v>
      </c>
      <c r="C131" s="139">
        <f>C102</f>
        <v>391.9954901274312</v>
      </c>
      <c r="D131" s="52"/>
    </row>
    <row r="132" spans="1:4" ht="16.5" thickBot="1">
      <c r="A132" s="138" t="s">
        <v>18</v>
      </c>
      <c r="B132" s="4" t="s">
        <v>57</v>
      </c>
      <c r="C132" s="139">
        <f>C111</f>
        <v>227.37421778771545</v>
      </c>
      <c r="D132" s="52"/>
    </row>
    <row r="133" spans="1:4" ht="16.5" thickBot="1">
      <c r="A133" s="216" t="s">
        <v>63</v>
      </c>
      <c r="B133" s="232"/>
      <c r="C133" s="140">
        <f>SUM(C128:C132)</f>
        <v>5982.6658548973719</v>
      </c>
      <c r="D133" s="141"/>
    </row>
    <row r="134" spans="1:4" ht="16.5" thickBot="1">
      <c r="A134" s="138" t="s">
        <v>20</v>
      </c>
      <c r="B134" s="4" t="s">
        <v>64</v>
      </c>
      <c r="C134" s="139">
        <f>D122</f>
        <v>1306.070803914635</v>
      </c>
      <c r="D134" s="52"/>
    </row>
    <row r="135" spans="1:4" ht="16.5" thickBot="1">
      <c r="A135" s="138"/>
      <c r="B135" s="4"/>
      <c r="C135" s="139"/>
      <c r="D135" s="52"/>
    </row>
    <row r="136" spans="1:4" ht="16.5" thickBot="1">
      <c r="A136" s="216" t="s">
        <v>65</v>
      </c>
      <c r="B136" s="232"/>
      <c r="C136" s="140">
        <f>SUM(C133:C135)</f>
        <v>7288.7366588120067</v>
      </c>
      <c r="D136" s="52"/>
    </row>
  </sheetData>
  <mergeCells count="44">
    <mergeCell ref="A125:C125"/>
    <mergeCell ref="A133:B133"/>
    <mergeCell ref="A136:B136"/>
    <mergeCell ref="A113:D113"/>
    <mergeCell ref="A122:B122"/>
    <mergeCell ref="A111:B111"/>
    <mergeCell ref="A68:D68"/>
    <mergeCell ref="A76:B76"/>
    <mergeCell ref="A78:D78"/>
    <mergeCell ref="A79:D79"/>
    <mergeCell ref="A80:D80"/>
    <mergeCell ref="A89:B89"/>
    <mergeCell ref="A91:D91"/>
    <mergeCell ref="A95:B95"/>
    <mergeCell ref="A97:C97"/>
    <mergeCell ref="A102:B102"/>
    <mergeCell ref="A104:C104"/>
    <mergeCell ref="A23:D23"/>
    <mergeCell ref="A25:D25"/>
    <mergeCell ref="B11:C11"/>
    <mergeCell ref="B12:C12"/>
    <mergeCell ref="B13:C13"/>
    <mergeCell ref="B14:C14"/>
    <mergeCell ref="A20:C20"/>
    <mergeCell ref="B15:C15"/>
    <mergeCell ref="B16:C16"/>
    <mergeCell ref="B17:C17"/>
    <mergeCell ref="B18:C18"/>
    <mergeCell ref="A19:C19"/>
    <mergeCell ref="A67:D67"/>
    <mergeCell ref="A30:B30"/>
    <mergeCell ref="A32:D32"/>
    <mergeCell ref="A43:B43"/>
    <mergeCell ref="A45:D45"/>
    <mergeCell ref="A57:B57"/>
    <mergeCell ref="A59:C59"/>
    <mergeCell ref="A65:B65"/>
    <mergeCell ref="A9:D9"/>
    <mergeCell ref="A7:B7"/>
    <mergeCell ref="A2:D2"/>
    <mergeCell ref="A3:D3"/>
    <mergeCell ref="A4:B4"/>
    <mergeCell ref="A5:B5"/>
    <mergeCell ref="A6:B6"/>
  </mergeCells>
  <phoneticPr fontId="3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8" max="3" man="1"/>
    <brk id="112" max="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36"/>
  <sheetViews>
    <sheetView view="pageBreakPreview" zoomScaleSheetLayoutView="100" workbookViewId="0">
      <selection sqref="A1:XFD1048576"/>
    </sheetView>
  </sheetViews>
  <sheetFormatPr defaultColWidth="8.85546875" defaultRowHeight="15"/>
  <cols>
    <col min="1" max="1" width="8.85546875" style="55"/>
    <col min="2" max="2" width="61.7109375" style="55" customWidth="1"/>
    <col min="3" max="3" width="17.7109375" style="55" customWidth="1"/>
    <col min="4" max="4" width="15.7109375" style="55" customWidth="1"/>
    <col min="5" max="5" width="39.28515625" style="55" customWidth="1"/>
    <col min="6" max="16384" width="8.85546875" style="55"/>
  </cols>
  <sheetData>
    <row r="1" spans="1:5" ht="15.75">
      <c r="A1" s="52"/>
      <c r="B1" s="52"/>
      <c r="C1" s="52"/>
      <c r="D1" s="52"/>
    </row>
    <row r="2" spans="1:5" ht="15" customHeight="1">
      <c r="A2" s="209" t="s">
        <v>76</v>
      </c>
      <c r="B2" s="210"/>
      <c r="C2" s="210"/>
      <c r="D2" s="211"/>
    </row>
    <row r="3" spans="1:5" ht="15" customHeight="1">
      <c r="A3" s="212" t="s">
        <v>145</v>
      </c>
      <c r="B3" s="213"/>
      <c r="C3" s="213"/>
      <c r="D3" s="214"/>
    </row>
    <row r="4" spans="1:5" ht="15" customHeight="1">
      <c r="A4" s="207" t="str">
        <f>'VA Noite'!A4</f>
        <v>AM000057/2024</v>
      </c>
      <c r="B4" s="208"/>
      <c r="C4" s="3" t="s">
        <v>77</v>
      </c>
      <c r="D4" s="2">
        <f>'VA Noite'!D4</f>
        <v>45323</v>
      </c>
    </row>
    <row r="5" spans="1:5" ht="15" customHeight="1">
      <c r="A5" s="207" t="s">
        <v>129</v>
      </c>
      <c r="B5" s="208"/>
      <c r="C5" s="3" t="s">
        <v>87</v>
      </c>
      <c r="D5" s="49">
        <v>5173</v>
      </c>
    </row>
    <row r="6" spans="1:5">
      <c r="A6" s="207" t="s">
        <v>79</v>
      </c>
      <c r="B6" s="208"/>
      <c r="C6" s="3" t="s">
        <v>80</v>
      </c>
      <c r="D6" s="50">
        <f>Principal!F7</f>
        <v>2</v>
      </c>
    </row>
    <row r="7" spans="1:5">
      <c r="A7" s="207" t="s">
        <v>81</v>
      </c>
      <c r="B7" s="208"/>
      <c r="C7" s="3" t="s">
        <v>82</v>
      </c>
      <c r="D7" s="51" t="s">
        <v>83</v>
      </c>
    </row>
    <row r="8" spans="1:5" ht="15.75">
      <c r="A8" s="52">
        <v>2</v>
      </c>
      <c r="B8" s="52"/>
      <c r="C8" s="52"/>
      <c r="D8" s="52"/>
    </row>
    <row r="9" spans="1:5" ht="15.75">
      <c r="A9" s="215" t="s">
        <v>9</v>
      </c>
      <c r="B9" s="215"/>
      <c r="C9" s="215"/>
      <c r="D9" s="215"/>
    </row>
    <row r="10" spans="1:5" ht="16.5" thickBot="1">
      <c r="A10" s="52"/>
      <c r="B10" s="52"/>
      <c r="C10" s="52"/>
      <c r="D10" s="52"/>
    </row>
    <row r="11" spans="1:5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5" ht="16.5" thickBot="1">
      <c r="A12" s="58" t="s">
        <v>12</v>
      </c>
      <c r="B12" s="218" t="s">
        <v>13</v>
      </c>
      <c r="C12" s="219"/>
      <c r="D12" s="53">
        <f>'VA Noite'!D12</f>
        <v>1680</v>
      </c>
      <c r="E12" s="52"/>
    </row>
    <row r="13" spans="1:5" ht="16.5" thickBot="1">
      <c r="A13" s="58" t="s">
        <v>14</v>
      </c>
      <c r="B13" s="218" t="s">
        <v>144</v>
      </c>
      <c r="C13" s="219"/>
      <c r="D13" s="54">
        <f>$D$12*0.1</f>
        <v>168</v>
      </c>
      <c r="E13" s="52"/>
    </row>
    <row r="14" spans="1:5" ht="16.5" thickBot="1">
      <c r="A14" s="58" t="s">
        <v>16</v>
      </c>
      <c r="B14" s="218" t="s">
        <v>15</v>
      </c>
      <c r="C14" s="219"/>
      <c r="D14" s="14">
        <f>$D$12*0.3</f>
        <v>504</v>
      </c>
      <c r="E14" s="52"/>
    </row>
    <row r="15" spans="1:5" ht="16.5" thickBot="1">
      <c r="A15" s="58" t="s">
        <v>17</v>
      </c>
      <c r="B15" s="218" t="s">
        <v>0</v>
      </c>
      <c r="C15" s="219"/>
      <c r="D15" s="14">
        <v>0</v>
      </c>
      <c r="E15" s="52"/>
    </row>
    <row r="16" spans="1:5" ht="16.5" thickBot="1">
      <c r="A16" s="58" t="s">
        <v>18</v>
      </c>
      <c r="B16" s="218" t="s">
        <v>19</v>
      </c>
      <c r="C16" s="219"/>
      <c r="D16" s="14">
        <v>0</v>
      </c>
      <c r="E16" s="52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2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2352</v>
      </c>
      <c r="E19" s="60"/>
    </row>
    <row r="20" spans="1:5" ht="16.5" thickBot="1">
      <c r="A20" s="220" t="s">
        <v>149</v>
      </c>
      <c r="B20" s="221"/>
      <c r="C20" s="222"/>
      <c r="D20" s="18">
        <f>D19-D18</f>
        <v>2352</v>
      </c>
      <c r="E20" s="52"/>
    </row>
    <row r="21" spans="1:5" ht="15.75">
      <c r="A21" s="52"/>
      <c r="B21" s="52"/>
      <c r="C21" s="52"/>
      <c r="D21" s="59">
        <f>D20-D19</f>
        <v>0</v>
      </c>
    </row>
    <row r="22" spans="1:5" ht="7.9" customHeight="1">
      <c r="A22" s="52"/>
      <c r="B22" s="52"/>
      <c r="C22" s="52"/>
      <c r="D22" s="52"/>
    </row>
    <row r="23" spans="1:5" ht="15.75">
      <c r="A23" s="215" t="s">
        <v>22</v>
      </c>
      <c r="B23" s="215"/>
      <c r="C23" s="215"/>
      <c r="D23" s="215"/>
    </row>
    <row r="24" spans="1:5" ht="15.75">
      <c r="A24" s="62"/>
      <c r="B24" s="52"/>
      <c r="C24" s="52"/>
      <c r="D24" s="52"/>
    </row>
    <row r="25" spans="1:5" ht="15.75">
      <c r="A25" s="223" t="s">
        <v>23</v>
      </c>
      <c r="B25" s="223"/>
      <c r="C25" s="223"/>
      <c r="D25" s="223"/>
    </row>
    <row r="26" spans="1:5" ht="16.5" thickBot="1">
      <c r="A26" s="52"/>
      <c r="B26" s="63" t="s">
        <v>71</v>
      </c>
      <c r="C26" s="52"/>
      <c r="D26" s="52"/>
    </row>
    <row r="27" spans="1:5" ht="16.5" thickBot="1">
      <c r="A27" s="56" t="s">
        <v>24</v>
      </c>
      <c r="B27" s="57" t="s">
        <v>25</v>
      </c>
      <c r="C27" s="56" t="s">
        <v>72</v>
      </c>
      <c r="D27" s="57" t="s">
        <v>11</v>
      </c>
      <c r="E27" s="52"/>
    </row>
    <row r="28" spans="1:5" ht="16.5" thickBot="1">
      <c r="A28" s="58" t="s">
        <v>12</v>
      </c>
      <c r="B28" s="4" t="s">
        <v>245</v>
      </c>
      <c r="C28" s="64">
        <v>8.3333329999999997E-2</v>
      </c>
      <c r="D28" s="65">
        <f>D20*C28</f>
        <v>195.99999216000001</v>
      </c>
      <c r="E28" s="59"/>
    </row>
    <row r="29" spans="1:5" ht="16.5" thickBot="1">
      <c r="A29" s="58" t="s">
        <v>14</v>
      </c>
      <c r="B29" s="4" t="s">
        <v>148</v>
      </c>
      <c r="C29" s="66">
        <f>((1/12)+(1/3/12))</f>
        <v>0.1111111111111111</v>
      </c>
      <c r="D29" s="65">
        <f>D20*C29</f>
        <v>261.33333333333331</v>
      </c>
      <c r="E29" s="59"/>
    </row>
    <row r="30" spans="1:5" ht="16.5" thickBot="1">
      <c r="A30" s="220" t="s">
        <v>1</v>
      </c>
      <c r="B30" s="224"/>
      <c r="C30" s="67">
        <f>SUM(C28:C29)</f>
        <v>0.19444444111111109</v>
      </c>
      <c r="D30" s="68">
        <f>SUM(D28:D29)</f>
        <v>457.33332549333329</v>
      </c>
      <c r="E30" s="52"/>
    </row>
    <row r="31" spans="1:5" ht="15.75">
      <c r="A31" s="52"/>
      <c r="B31" s="52"/>
      <c r="C31" s="52"/>
      <c r="D31" s="52"/>
    </row>
    <row r="32" spans="1:5" ht="15.75">
      <c r="A32" s="225" t="s">
        <v>26</v>
      </c>
      <c r="B32" s="225"/>
      <c r="C32" s="225"/>
      <c r="D32" s="225"/>
    </row>
    <row r="33" spans="1:5" ht="16.5" thickBot="1">
      <c r="A33" s="52"/>
      <c r="B33" s="63" t="s">
        <v>70</v>
      </c>
      <c r="C33" s="52"/>
      <c r="D33" s="52"/>
    </row>
    <row r="34" spans="1:5" ht="16.5" thickBot="1">
      <c r="A34" s="56" t="s">
        <v>27</v>
      </c>
      <c r="B34" s="57" t="s">
        <v>28</v>
      </c>
      <c r="C34" s="57" t="s">
        <v>29</v>
      </c>
      <c r="D34" s="57" t="s">
        <v>11</v>
      </c>
    </row>
    <row r="35" spans="1:5" ht="16.5" thickBot="1">
      <c r="A35" s="58" t="s">
        <v>12</v>
      </c>
      <c r="B35" s="4" t="s">
        <v>30</v>
      </c>
      <c r="C35" s="69">
        <v>0.2</v>
      </c>
      <c r="D35" s="65">
        <f t="shared" ref="D35:D42" si="0">($D$20+$D$30)*C35</f>
        <v>561.86666509866666</v>
      </c>
    </row>
    <row r="36" spans="1:5" ht="14.25" customHeight="1" thickBot="1">
      <c r="A36" s="58" t="s">
        <v>14</v>
      </c>
      <c r="B36" s="4" t="s">
        <v>31</v>
      </c>
      <c r="C36" s="69">
        <v>2.5000000000000001E-2</v>
      </c>
      <c r="D36" s="65">
        <f t="shared" si="0"/>
        <v>70.233333137333332</v>
      </c>
      <c r="E36" s="143"/>
    </row>
    <row r="37" spans="1:5" ht="16.5" thickBot="1">
      <c r="A37" s="58" t="s">
        <v>16</v>
      </c>
      <c r="B37" s="4" t="s">
        <v>67</v>
      </c>
      <c r="C37" s="69">
        <v>0.03</v>
      </c>
      <c r="D37" s="65">
        <f t="shared" si="0"/>
        <v>84.279999764799996</v>
      </c>
    </row>
    <row r="38" spans="1:5" ht="16.5" thickBot="1">
      <c r="A38" s="58" t="s">
        <v>17</v>
      </c>
      <c r="B38" s="4" t="s">
        <v>32</v>
      </c>
      <c r="C38" s="69">
        <v>1.4999999999999999E-2</v>
      </c>
      <c r="D38" s="65">
        <f t="shared" si="0"/>
        <v>42.139999882399998</v>
      </c>
    </row>
    <row r="39" spans="1:5" ht="16.5" thickBot="1">
      <c r="A39" s="58" t="s">
        <v>18</v>
      </c>
      <c r="B39" s="4" t="s">
        <v>33</v>
      </c>
      <c r="C39" s="69">
        <v>0.01</v>
      </c>
      <c r="D39" s="65">
        <f t="shared" si="0"/>
        <v>28.093333254933331</v>
      </c>
    </row>
    <row r="40" spans="1:5" ht="16.5" thickBot="1">
      <c r="A40" s="58" t="s">
        <v>20</v>
      </c>
      <c r="B40" s="4" t="s">
        <v>2</v>
      </c>
      <c r="C40" s="69">
        <v>6.0000000000000001E-3</v>
      </c>
      <c r="D40" s="65">
        <f t="shared" si="0"/>
        <v>16.855999952959998</v>
      </c>
      <c r="E40" s="143"/>
    </row>
    <row r="41" spans="1:5" ht="16.5" thickBot="1">
      <c r="A41" s="58" t="s">
        <v>21</v>
      </c>
      <c r="B41" s="4" t="s">
        <v>3</v>
      </c>
      <c r="C41" s="69">
        <v>2E-3</v>
      </c>
      <c r="D41" s="65">
        <f t="shared" si="0"/>
        <v>5.6186666509866665</v>
      </c>
      <c r="E41" s="143"/>
    </row>
    <row r="42" spans="1:5" ht="15.75" customHeight="1" thickBot="1">
      <c r="A42" s="58" t="s">
        <v>34</v>
      </c>
      <c r="B42" s="4" t="s">
        <v>4</v>
      </c>
      <c r="C42" s="69">
        <v>0.08</v>
      </c>
      <c r="D42" s="65">
        <f t="shared" si="0"/>
        <v>224.74666603946665</v>
      </c>
      <c r="E42" s="144"/>
    </row>
    <row r="43" spans="1:5" ht="16.5" thickBot="1">
      <c r="A43" s="220" t="s">
        <v>35</v>
      </c>
      <c r="B43" s="224"/>
      <c r="C43" s="73">
        <f>SUM(C35:C42)</f>
        <v>0.36800000000000005</v>
      </c>
      <c r="D43" s="68">
        <f>SUM(D35:D42)</f>
        <v>1033.8346637815469</v>
      </c>
    </row>
    <row r="44" spans="1:5" ht="15.75">
      <c r="A44" s="52"/>
      <c r="B44" s="52"/>
      <c r="C44" s="52"/>
      <c r="D44" s="52"/>
    </row>
    <row r="45" spans="1:5" ht="15.75">
      <c r="A45" s="223" t="s">
        <v>36</v>
      </c>
      <c r="B45" s="223"/>
      <c r="C45" s="223"/>
      <c r="D45" s="223"/>
    </row>
    <row r="46" spans="1:5" ht="16.5" thickBot="1">
      <c r="A46" s="52"/>
      <c r="B46" s="63" t="s">
        <v>69</v>
      </c>
      <c r="C46" s="52"/>
      <c r="D46" s="52"/>
    </row>
    <row r="47" spans="1:5" ht="16.5" thickBot="1">
      <c r="A47" s="56" t="s">
        <v>37</v>
      </c>
      <c r="B47" s="57" t="s">
        <v>38</v>
      </c>
      <c r="C47" s="74" t="s">
        <v>232</v>
      </c>
      <c r="D47" s="57" t="s">
        <v>11</v>
      </c>
      <c r="E47" s="52"/>
    </row>
    <row r="48" spans="1:5" ht="16.5" thickBot="1">
      <c r="A48" s="58" t="s">
        <v>12</v>
      </c>
      <c r="B48" s="4" t="s">
        <v>231</v>
      </c>
      <c r="C48" s="75" t="s">
        <v>155</v>
      </c>
      <c r="D48" s="54">
        <f>((4.5*2)*15)</f>
        <v>135</v>
      </c>
      <c r="E48" s="59"/>
    </row>
    <row r="49" spans="1:5" ht="18" customHeight="1" thickBot="1">
      <c r="A49" s="58"/>
      <c r="B49" s="4" t="s">
        <v>68</v>
      </c>
      <c r="C49" s="78">
        <f>CCT!D31</f>
        <v>0.06</v>
      </c>
      <c r="D49" s="54">
        <f>-($D$12*C49)</f>
        <v>-100.8</v>
      </c>
      <c r="E49" s="52"/>
    </row>
    <row r="50" spans="1:5" ht="16.5" thickBot="1">
      <c r="A50" s="58" t="s">
        <v>14</v>
      </c>
      <c r="B50" s="4" t="s">
        <v>233</v>
      </c>
      <c r="C50" s="75" t="str">
        <f>'VA Noite'!C50</f>
        <v>R$31,20*15</v>
      </c>
      <c r="D50" s="76">
        <f>15*CCT!C30</f>
        <v>468</v>
      </c>
      <c r="E50" s="52"/>
    </row>
    <row r="51" spans="1:5" ht="16.5" thickBot="1">
      <c r="A51" s="58"/>
      <c r="B51" s="4" t="s">
        <v>151</v>
      </c>
      <c r="C51" s="78">
        <f>CCT!D30</f>
        <v>0.05</v>
      </c>
      <c r="D51" s="54">
        <f>-C51*D50</f>
        <v>-23.400000000000002</v>
      </c>
      <c r="E51" s="52"/>
    </row>
    <row r="52" spans="1:5" ht="16.5" thickBot="1">
      <c r="A52" s="79" t="s">
        <v>16</v>
      </c>
      <c r="B52" s="80" t="s">
        <v>125</v>
      </c>
      <c r="C52" s="4"/>
      <c r="D52" s="54">
        <v>0</v>
      </c>
      <c r="E52" s="52"/>
    </row>
    <row r="53" spans="1:5" ht="16.5" thickBot="1">
      <c r="A53" s="58" t="s">
        <v>17</v>
      </c>
      <c r="B53" s="4" t="s">
        <v>236</v>
      </c>
      <c r="C53" s="145"/>
      <c r="D53" s="82">
        <f>CCT!C32</f>
        <v>136.88999999999999</v>
      </c>
      <c r="E53" s="83"/>
    </row>
    <row r="54" spans="1:5" ht="16.5" thickBot="1">
      <c r="A54" s="58"/>
      <c r="B54" s="4" t="s">
        <v>152</v>
      </c>
      <c r="C54" s="84">
        <f>CCT!D32</f>
        <v>0.05</v>
      </c>
      <c r="D54" s="54">
        <f>-CCT!C32*CCT!D32</f>
        <v>-6.8445</v>
      </c>
      <c r="E54" s="83"/>
    </row>
    <row r="55" spans="1:5" ht="16.5" thickBot="1">
      <c r="A55" s="58" t="s">
        <v>18</v>
      </c>
      <c r="B55" s="4" t="s">
        <v>197</v>
      </c>
      <c r="C55" s="4"/>
      <c r="D55" s="81">
        <f>CCT!C33</f>
        <v>12</v>
      </c>
      <c r="E55" s="52"/>
    </row>
    <row r="56" spans="1:5" ht="16.5" thickBot="1">
      <c r="A56" s="58" t="s">
        <v>20</v>
      </c>
      <c r="B56" s="4" t="s">
        <v>239</v>
      </c>
      <c r="C56" s="86">
        <f>CCT!D33</f>
        <v>0.5</v>
      </c>
      <c r="D56" s="54">
        <f>-C56*D55</f>
        <v>-6</v>
      </c>
      <c r="E56" s="52"/>
    </row>
    <row r="57" spans="1:5" ht="16.5" thickBot="1">
      <c r="A57" s="220" t="s">
        <v>1</v>
      </c>
      <c r="B57" s="224"/>
      <c r="C57" s="87"/>
      <c r="D57" s="18">
        <f>SUM(D48:D56)</f>
        <v>614.84550000000002</v>
      </c>
      <c r="E57" s="52"/>
    </row>
    <row r="58" spans="1:5" ht="15.75">
      <c r="A58" s="52"/>
      <c r="B58" s="52"/>
      <c r="C58" s="52"/>
      <c r="D58" s="52"/>
    </row>
    <row r="59" spans="1:5" ht="15.75">
      <c r="A59" s="223" t="s">
        <v>39</v>
      </c>
      <c r="B59" s="223"/>
      <c r="C59" s="223"/>
      <c r="D59" s="52"/>
    </row>
    <row r="60" spans="1:5" ht="16.5" thickBot="1">
      <c r="A60" s="52"/>
      <c r="B60" s="88" t="s">
        <v>246</v>
      </c>
      <c r="C60" s="52"/>
      <c r="D60" s="52"/>
    </row>
    <row r="61" spans="1:5" ht="16.5" thickBot="1">
      <c r="A61" s="56">
        <v>2</v>
      </c>
      <c r="B61" s="57" t="s">
        <v>40</v>
      </c>
      <c r="C61" s="57" t="s">
        <v>11</v>
      </c>
      <c r="D61" s="52"/>
    </row>
    <row r="62" spans="1:5" ht="16.5" thickBot="1">
      <c r="A62" s="58" t="s">
        <v>24</v>
      </c>
      <c r="B62" s="4" t="s">
        <v>25</v>
      </c>
      <c r="C62" s="65">
        <f>D30</f>
        <v>457.33332549333329</v>
      </c>
      <c r="D62" s="52"/>
    </row>
    <row r="63" spans="1:5" ht="16.5" thickBot="1">
      <c r="A63" s="58" t="s">
        <v>27</v>
      </c>
      <c r="B63" s="4" t="s">
        <v>28</v>
      </c>
      <c r="C63" s="65">
        <f>D43</f>
        <v>1033.8346637815469</v>
      </c>
      <c r="D63" s="52"/>
    </row>
    <row r="64" spans="1:5" ht="16.5" thickBot="1">
      <c r="A64" s="58" t="s">
        <v>37</v>
      </c>
      <c r="B64" s="4" t="s">
        <v>38</v>
      </c>
      <c r="C64" s="65">
        <f>D57</f>
        <v>614.84550000000002</v>
      </c>
      <c r="D64" s="52"/>
    </row>
    <row r="65" spans="1:5" ht="16.5" thickBot="1">
      <c r="A65" s="226" t="s">
        <v>1</v>
      </c>
      <c r="B65" s="227"/>
      <c r="C65" s="89">
        <f>SUM(C62:C64)</f>
        <v>2106.0134892748802</v>
      </c>
      <c r="D65" s="52"/>
    </row>
    <row r="66" spans="1:5" ht="15.75">
      <c r="A66" s="90"/>
      <c r="B66" s="52"/>
      <c r="C66" s="52"/>
      <c r="D66" s="52"/>
    </row>
    <row r="67" spans="1:5" ht="15.75">
      <c r="A67" s="215" t="s">
        <v>41</v>
      </c>
      <c r="B67" s="215"/>
      <c r="C67" s="215"/>
      <c r="D67" s="215"/>
    </row>
    <row r="68" spans="1:5" ht="16.5" thickBot="1">
      <c r="A68" s="228" t="s">
        <v>142</v>
      </c>
      <c r="B68" s="228"/>
      <c r="C68" s="228"/>
      <c r="D68" s="228"/>
    </row>
    <row r="69" spans="1:5" ht="16.5" thickBot="1">
      <c r="A69" s="56">
        <v>3</v>
      </c>
      <c r="B69" s="57" t="s">
        <v>42</v>
      </c>
      <c r="C69" s="56" t="s">
        <v>72</v>
      </c>
      <c r="D69" s="57" t="s">
        <v>11</v>
      </c>
      <c r="E69" s="146"/>
    </row>
    <row r="70" spans="1:5" ht="16.5" thickBot="1">
      <c r="A70" s="58" t="s">
        <v>12</v>
      </c>
      <c r="B70" s="93" t="s">
        <v>43</v>
      </c>
      <c r="C70" s="94">
        <f>(100%*(1/12)*5%)*100%</f>
        <v>4.1666666666666666E-3</v>
      </c>
      <c r="D70" s="95">
        <f>C70*$D$20</f>
        <v>9.8000000000000007</v>
      </c>
      <c r="E70" s="96"/>
    </row>
    <row r="71" spans="1:5" ht="16.5" thickBot="1">
      <c r="A71" s="58" t="s">
        <v>14</v>
      </c>
      <c r="B71" s="93" t="s">
        <v>44</v>
      </c>
      <c r="C71" s="97">
        <f>C70*C42</f>
        <v>3.3333333333333332E-4</v>
      </c>
      <c r="D71" s="95">
        <f t="shared" ref="D71:D75" si="1">C71*$D$20</f>
        <v>0.78399999999999992</v>
      </c>
      <c r="E71" s="96"/>
    </row>
    <row r="72" spans="1:5" ht="32.25" thickBot="1">
      <c r="A72" s="58" t="s">
        <v>16</v>
      </c>
      <c r="B72" s="93" t="s">
        <v>45</v>
      </c>
      <c r="C72" s="98">
        <f>C71*40%</f>
        <v>1.3333333333333334E-4</v>
      </c>
      <c r="D72" s="95">
        <f t="shared" si="1"/>
        <v>0.31359999999999999</v>
      </c>
      <c r="E72" s="52"/>
    </row>
    <row r="73" spans="1:5" ht="16.5" thickBot="1">
      <c r="A73" s="58" t="s">
        <v>17</v>
      </c>
      <c r="B73" s="93" t="s">
        <v>46</v>
      </c>
      <c r="C73" s="99">
        <f>((7/30)/12)</f>
        <v>1.9444444444444445E-2</v>
      </c>
      <c r="D73" s="95">
        <f t="shared" si="1"/>
        <v>45.733333333333334</v>
      </c>
      <c r="E73" s="52"/>
    </row>
    <row r="74" spans="1:5" ht="32.25" thickBot="1">
      <c r="A74" s="58" t="s">
        <v>18</v>
      </c>
      <c r="B74" s="93" t="s">
        <v>78</v>
      </c>
      <c r="C74" s="98">
        <f>C43*C73</f>
        <v>7.1555555555555565E-3</v>
      </c>
      <c r="D74" s="95">
        <f t="shared" si="1"/>
        <v>16.829866666666668</v>
      </c>
      <c r="E74" s="52"/>
    </row>
    <row r="75" spans="1:5" ht="32.25" thickBot="1">
      <c r="A75" s="58" t="s">
        <v>20</v>
      </c>
      <c r="B75" s="93" t="s">
        <v>47</v>
      </c>
      <c r="C75" s="98">
        <f>((100%+8.33%+11.11%)*8%*40%+0.18%)</f>
        <v>4.0020800000000002E-2</v>
      </c>
      <c r="D75" s="95">
        <f t="shared" si="1"/>
        <v>94.128921599999998</v>
      </c>
      <c r="E75" s="52"/>
    </row>
    <row r="76" spans="1:5" ht="16.5" thickBot="1">
      <c r="A76" s="229" t="s">
        <v>1</v>
      </c>
      <c r="B76" s="230"/>
      <c r="C76" s="100">
        <f>SUM(C70:C75)</f>
        <v>7.125413333333333E-2</v>
      </c>
      <c r="D76" s="148">
        <f>SUM(D70:D75)</f>
        <v>167.58972160000002</v>
      </c>
      <c r="E76" s="52"/>
    </row>
    <row r="77" spans="1:5" ht="15.75">
      <c r="A77" s="52"/>
      <c r="B77" s="52"/>
      <c r="C77" s="103"/>
      <c r="D77" s="52"/>
    </row>
    <row r="78" spans="1:5" ht="15.75">
      <c r="A78" s="215" t="s">
        <v>48</v>
      </c>
      <c r="B78" s="215"/>
      <c r="C78" s="215"/>
      <c r="D78" s="215"/>
    </row>
    <row r="79" spans="1:5">
      <c r="A79" s="233"/>
      <c r="B79" s="233"/>
      <c r="C79" s="233"/>
      <c r="D79" s="233"/>
    </row>
    <row r="80" spans="1:5" ht="15.75">
      <c r="A80" s="223" t="s">
        <v>49</v>
      </c>
      <c r="B80" s="223"/>
      <c r="C80" s="223"/>
      <c r="D80" s="223"/>
      <c r="E80" s="106" t="s">
        <v>176</v>
      </c>
    </row>
    <row r="81" spans="1:5" ht="16.5" thickBot="1">
      <c r="D81" s="59"/>
    </row>
    <row r="82" spans="1:5" ht="16.149999999999999" customHeight="1" thickBot="1">
      <c r="A82" s="56" t="s">
        <v>50</v>
      </c>
      <c r="B82" s="57" t="s">
        <v>51</v>
      </c>
      <c r="C82" s="56" t="s">
        <v>72</v>
      </c>
      <c r="D82" s="57" t="s">
        <v>11</v>
      </c>
      <c r="E82" s="52"/>
    </row>
    <row r="83" spans="1:5" ht="16.5" thickBot="1">
      <c r="A83" s="58" t="s">
        <v>12</v>
      </c>
      <c r="B83" s="4" t="s">
        <v>150</v>
      </c>
      <c r="C83" s="107">
        <f>((((1/12/12))+(((1/12/12)/3))*100%))</f>
        <v>9.2592592592592587E-3</v>
      </c>
      <c r="D83" s="65">
        <f>($D$20+$D$30+$D$43)*C83*0</f>
        <v>0</v>
      </c>
      <c r="E83" s="108"/>
    </row>
    <row r="84" spans="1:5" ht="16.5" thickBot="1">
      <c r="A84" s="58" t="s">
        <v>14</v>
      </c>
      <c r="B84" s="4" t="s">
        <v>137</v>
      </c>
      <c r="C84" s="107">
        <f>((2/30)/12)*100%</f>
        <v>5.5555555555555558E-3</v>
      </c>
      <c r="D84" s="65">
        <f t="shared" ref="D84:D87" si="2">($D$20+$D$30+$D$43)*C84</f>
        <v>21.350933273749334</v>
      </c>
      <c r="E84" s="52"/>
    </row>
    <row r="85" spans="1:5" ht="16.5" thickBot="1">
      <c r="A85" s="58" t="s">
        <v>16</v>
      </c>
      <c r="B85" s="4" t="s">
        <v>138</v>
      </c>
      <c r="C85" s="110">
        <f>(((5/30)/12)*0.015)*100%</f>
        <v>2.0833333333333332E-4</v>
      </c>
      <c r="D85" s="65">
        <f t="shared" si="2"/>
        <v>0.80065999776559993</v>
      </c>
      <c r="E85" s="109"/>
    </row>
    <row r="86" spans="1:5" ht="16.5" thickBot="1">
      <c r="A86" s="58" t="s">
        <v>18</v>
      </c>
      <c r="B86" s="4" t="s">
        <v>139</v>
      </c>
      <c r="C86" s="110">
        <f>(((15/30)/12)*0.08)*100%</f>
        <v>3.3333333333333331E-3</v>
      </c>
      <c r="D86" s="65">
        <f>($D$20+$D$30+$D$43)*C86</f>
        <v>12.810559964249599</v>
      </c>
      <c r="E86" s="52"/>
    </row>
    <row r="87" spans="1:5" ht="16.5" thickBot="1">
      <c r="A87" s="58" t="s">
        <v>17</v>
      </c>
      <c r="B87" s="111" t="s">
        <v>140</v>
      </c>
      <c r="C87" s="112">
        <f>((4/12)/12*0.02*100%)</f>
        <v>5.5555555555555556E-4</v>
      </c>
      <c r="D87" s="65">
        <f t="shared" si="2"/>
        <v>2.1350933273749333</v>
      </c>
      <c r="E87" s="52"/>
    </row>
    <row r="88" spans="1:5" ht="16.5" thickBot="1">
      <c r="A88" s="149" t="s">
        <v>20</v>
      </c>
      <c r="B88" s="4" t="s">
        <v>141</v>
      </c>
      <c r="C88" s="110">
        <v>0</v>
      </c>
      <c r="D88" s="65">
        <f t="shared" ref="D88" si="3">$D$19*C88</f>
        <v>0</v>
      </c>
      <c r="E88" s="59"/>
    </row>
    <row r="89" spans="1:5" ht="16.5" thickBot="1">
      <c r="A89" s="216" t="s">
        <v>35</v>
      </c>
      <c r="B89" s="232"/>
      <c r="C89" s="113">
        <f>SUM(C83:C88)</f>
        <v>1.8912037037037036E-2</v>
      </c>
      <c r="D89" s="114">
        <f>SUM(D83:D88)</f>
        <v>37.097246563139464</v>
      </c>
      <c r="E89" s="52"/>
    </row>
    <row r="90" spans="1:5" ht="15.75">
      <c r="A90" s="52"/>
      <c r="B90" s="52"/>
      <c r="C90" s="52"/>
      <c r="D90" s="52"/>
    </row>
    <row r="91" spans="1:5" ht="15.75">
      <c r="A91" s="223" t="s">
        <v>52</v>
      </c>
      <c r="B91" s="223"/>
      <c r="C91" s="223"/>
      <c r="D91" s="223"/>
    </row>
    <row r="92" spans="1:5" ht="16.5" thickBot="1">
      <c r="A92" s="62"/>
      <c r="B92" s="52"/>
      <c r="C92" s="52"/>
      <c r="D92" s="52"/>
    </row>
    <row r="93" spans="1:5" ht="16.5" thickBot="1">
      <c r="A93" s="56" t="s">
        <v>53</v>
      </c>
      <c r="B93" s="57" t="s">
        <v>54</v>
      </c>
      <c r="C93" s="56" t="s">
        <v>72</v>
      </c>
      <c r="D93" s="57" t="s">
        <v>11</v>
      </c>
      <c r="E93" s="52"/>
    </row>
    <row r="94" spans="1:5" ht="16.5" thickBot="1">
      <c r="A94" s="58" t="s">
        <v>12</v>
      </c>
      <c r="B94" s="4" t="s">
        <v>66</v>
      </c>
      <c r="C94" s="115" t="s">
        <v>179</v>
      </c>
      <c r="D94" s="116">
        <f>(($D$20/180)*1.5)*15</f>
        <v>294</v>
      </c>
      <c r="E94" s="52"/>
    </row>
    <row r="95" spans="1:5" ht="16.5" thickBot="1">
      <c r="A95" s="216" t="s">
        <v>1</v>
      </c>
      <c r="B95" s="232"/>
      <c r="C95" s="117"/>
      <c r="D95" s="118">
        <f>SUM(D94)</f>
        <v>294</v>
      </c>
      <c r="E95" s="52"/>
    </row>
    <row r="96" spans="1:5" ht="15.75">
      <c r="A96" s="52"/>
      <c r="B96" s="52"/>
      <c r="C96" s="52"/>
      <c r="D96" s="52"/>
      <c r="E96" s="52"/>
    </row>
    <row r="97" spans="1:5" ht="15.75">
      <c r="A97" s="223" t="s">
        <v>55</v>
      </c>
      <c r="B97" s="223"/>
      <c r="C97" s="223"/>
    </row>
    <row r="98" spans="1:5" ht="16.5" thickBot="1">
      <c r="A98" s="62"/>
      <c r="B98" s="52"/>
      <c r="C98" s="52"/>
    </row>
    <row r="99" spans="1:5" ht="16.5" thickBot="1">
      <c r="A99" s="56">
        <v>4</v>
      </c>
      <c r="B99" s="57" t="s">
        <v>56</v>
      </c>
      <c r="C99" s="57" t="s">
        <v>11</v>
      </c>
      <c r="D99" s="52"/>
    </row>
    <row r="100" spans="1:5" ht="16.5" thickBot="1">
      <c r="A100" s="58" t="s">
        <v>50</v>
      </c>
      <c r="B100" s="4" t="s">
        <v>51</v>
      </c>
      <c r="C100" s="54">
        <f>D89</f>
        <v>37.097246563139464</v>
      </c>
      <c r="D100" s="52"/>
    </row>
    <row r="101" spans="1:5" ht="16.5" thickBot="1">
      <c r="A101" s="58" t="s">
        <v>53</v>
      </c>
      <c r="B101" s="4" t="s">
        <v>54</v>
      </c>
      <c r="C101" s="54">
        <f>D95</f>
        <v>294</v>
      </c>
      <c r="D101" s="52"/>
    </row>
    <row r="102" spans="1:5" ht="15.75" customHeight="1" thickBot="1">
      <c r="A102" s="216" t="s">
        <v>1</v>
      </c>
      <c r="B102" s="232"/>
      <c r="C102" s="118">
        <f>SUM(C100:C101)</f>
        <v>331.09724656313949</v>
      </c>
      <c r="D102" s="52"/>
    </row>
    <row r="103" spans="1:5" ht="15.75">
      <c r="A103" s="52"/>
      <c r="B103" s="52"/>
      <c r="C103" s="52"/>
      <c r="D103" s="52"/>
    </row>
    <row r="104" spans="1:5" ht="15.75">
      <c r="A104" s="231" t="s">
        <v>57</v>
      </c>
      <c r="B104" s="231"/>
      <c r="C104" s="231"/>
    </row>
    <row r="105" spans="1:5" ht="16.5" thickBot="1">
      <c r="A105" s="52"/>
      <c r="B105" s="52"/>
      <c r="C105" s="52"/>
    </row>
    <row r="106" spans="1:5" ht="16.5" thickBot="1">
      <c r="A106" s="56">
        <v>5</v>
      </c>
      <c r="B106" s="119" t="s">
        <v>5</v>
      </c>
      <c r="C106" s="57" t="s">
        <v>11</v>
      </c>
      <c r="D106" s="52"/>
    </row>
    <row r="107" spans="1:5" ht="16.5" thickBot="1">
      <c r="A107" s="58" t="s">
        <v>12</v>
      </c>
      <c r="B107" s="4" t="s">
        <v>58</v>
      </c>
      <c r="C107" s="54">
        <f>'VA Dia'!C108</f>
        <v>74.84</v>
      </c>
      <c r="D107" s="52"/>
    </row>
    <row r="108" spans="1:5" ht="16.5" thickBot="1">
      <c r="A108" s="58" t="s">
        <v>14</v>
      </c>
      <c r="B108" s="4" t="s">
        <v>126</v>
      </c>
      <c r="C108" s="54">
        <f>'VA Dia'!C109</f>
        <v>152.53421778771545</v>
      </c>
      <c r="D108" s="52"/>
    </row>
    <row r="109" spans="1:5" ht="16.5" thickBot="1">
      <c r="A109" s="58" t="s">
        <v>16</v>
      </c>
      <c r="B109" s="4" t="s">
        <v>127</v>
      </c>
      <c r="C109" s="14"/>
      <c r="E109" s="52"/>
    </row>
    <row r="110" spans="1:5" ht="16.5" thickBot="1">
      <c r="A110" s="58" t="s">
        <v>17</v>
      </c>
      <c r="B110" s="4" t="s">
        <v>84</v>
      </c>
      <c r="C110" s="54"/>
      <c r="D110" s="52"/>
    </row>
    <row r="111" spans="1:5" ht="16.5" thickBot="1">
      <c r="A111" s="216" t="s">
        <v>35</v>
      </c>
      <c r="B111" s="232"/>
      <c r="C111" s="118">
        <f>SUM(C107:C110)</f>
        <v>227.37421778771545</v>
      </c>
      <c r="D111" s="52"/>
    </row>
    <row r="112" spans="1:5" ht="15.75">
      <c r="A112" s="52"/>
      <c r="B112" s="52"/>
      <c r="C112" s="52"/>
      <c r="D112" s="52"/>
    </row>
    <row r="113" spans="1:5" ht="15.75">
      <c r="A113" s="231" t="s">
        <v>59</v>
      </c>
      <c r="B113" s="231"/>
      <c r="C113" s="231"/>
      <c r="D113" s="231"/>
    </row>
    <row r="114" spans="1:5" ht="16.5" thickBot="1">
      <c r="A114" s="52"/>
      <c r="B114" s="52"/>
      <c r="C114" s="52"/>
      <c r="D114" s="52"/>
    </row>
    <row r="115" spans="1:5" ht="16.5" thickBot="1">
      <c r="A115" s="56">
        <v>6</v>
      </c>
      <c r="B115" s="119" t="s">
        <v>6</v>
      </c>
      <c r="C115" s="57" t="s">
        <v>29</v>
      </c>
      <c r="D115" s="121" t="s">
        <v>11</v>
      </c>
      <c r="E115" s="122"/>
    </row>
    <row r="116" spans="1:5" ht="16.5" thickBot="1">
      <c r="A116" s="58" t="s">
        <v>12</v>
      </c>
      <c r="B116" s="4" t="s">
        <v>7</v>
      </c>
      <c r="C116" s="110">
        <f>'VA Dia'!C117</f>
        <v>0.05</v>
      </c>
      <c r="D116" s="123">
        <f>$C$133*C116+0.01</f>
        <v>259.21373376128679</v>
      </c>
      <c r="E116" s="124"/>
    </row>
    <row r="117" spans="1:5" ht="16.5" thickBot="1">
      <c r="A117" s="58" t="s">
        <v>14</v>
      </c>
      <c r="B117" s="4" t="s">
        <v>8</v>
      </c>
      <c r="C117" s="110">
        <f>'VA Dia'!C118</f>
        <v>6.7900000000000002E-2</v>
      </c>
      <c r="D117" s="123">
        <f>($C$133+$D$116)*C117</f>
        <v>369.59928297021884</v>
      </c>
      <c r="E117" s="124"/>
    </row>
    <row r="118" spans="1:5" ht="16.5" thickBot="1">
      <c r="A118" s="58" t="s">
        <v>16</v>
      </c>
      <c r="B118" s="4" t="s">
        <v>75</v>
      </c>
      <c r="C118" s="125">
        <f>C119+C120+C121</f>
        <v>8.6499999999999994E-2</v>
      </c>
      <c r="D118" s="123"/>
      <c r="E118" s="124"/>
    </row>
    <row r="119" spans="1:5" ht="16.5" thickBot="1">
      <c r="A119" s="58"/>
      <c r="B119" s="4" t="s">
        <v>73</v>
      </c>
      <c r="C119" s="110">
        <v>6.4999999999999997E-3</v>
      </c>
      <c r="D119" s="128">
        <f>(($C$133+$D$116+$D$117)/1-$C$118)*C119+0.14</f>
        <v>37.923207747722067</v>
      </c>
    </row>
    <row r="120" spans="1:5" ht="16.5" thickBot="1">
      <c r="A120" s="58"/>
      <c r="B120" s="4" t="s">
        <v>74</v>
      </c>
      <c r="C120" s="127">
        <v>0.03</v>
      </c>
      <c r="D120" s="128">
        <f>(($C$133+$D$116+$D$117)/1-$C$118)*C120</f>
        <v>174.38403575871723</v>
      </c>
    </row>
    <row r="121" spans="1:5" ht="16.5" thickBot="1">
      <c r="A121" s="58"/>
      <c r="B121" s="4" t="s">
        <v>60</v>
      </c>
      <c r="C121" s="110">
        <v>0.05</v>
      </c>
      <c r="D121" s="128">
        <f>(($C$133+$D$116+$D$117)/1-$C$118)*C121</f>
        <v>290.64005959786203</v>
      </c>
    </row>
    <row r="122" spans="1:5" ht="16.5" thickBot="1">
      <c r="A122" s="216" t="s">
        <v>35</v>
      </c>
      <c r="B122" s="232"/>
      <c r="C122" s="129">
        <f>SUM(C116:C121)-C118</f>
        <v>0.2044</v>
      </c>
      <c r="D122" s="118">
        <f>SUM(D116:D121)</f>
        <v>1131.760319835807</v>
      </c>
    </row>
    <row r="123" spans="1:5" ht="15.75">
      <c r="A123" s="130"/>
      <c r="B123" s="130"/>
      <c r="C123" s="131"/>
      <c r="D123" s="132"/>
    </row>
    <row r="124" spans="1:5" ht="15.75">
      <c r="A124" s="133"/>
      <c r="B124" s="134"/>
      <c r="C124" s="135"/>
      <c r="D124" s="136"/>
      <c r="E124" s="136"/>
    </row>
    <row r="125" spans="1:5" ht="15.75">
      <c r="A125" s="231" t="s">
        <v>61</v>
      </c>
      <c r="B125" s="231"/>
      <c r="C125" s="231"/>
      <c r="D125" s="52"/>
    </row>
    <row r="126" spans="1:5" ht="16.5" thickBot="1">
      <c r="A126" s="52"/>
      <c r="B126" s="52"/>
      <c r="C126" s="52"/>
      <c r="D126" s="52"/>
    </row>
    <row r="127" spans="1:5" ht="32.25" thickBot="1">
      <c r="A127" s="56"/>
      <c r="B127" s="57" t="s">
        <v>62</v>
      </c>
      <c r="C127" s="57" t="s">
        <v>11</v>
      </c>
      <c r="D127" s="52"/>
      <c r="E127" s="137"/>
    </row>
    <row r="128" spans="1:5" ht="16.5" thickBot="1">
      <c r="A128" s="138" t="s">
        <v>12</v>
      </c>
      <c r="B128" s="4" t="s">
        <v>9</v>
      </c>
      <c r="C128" s="139">
        <f>D19</f>
        <v>2352</v>
      </c>
      <c r="D128" s="52"/>
      <c r="E128" s="61"/>
    </row>
    <row r="129" spans="1:4" ht="16.5" thickBot="1">
      <c r="A129" s="138" t="s">
        <v>14</v>
      </c>
      <c r="B129" s="4" t="s">
        <v>22</v>
      </c>
      <c r="C129" s="139">
        <f>C65</f>
        <v>2106.0134892748802</v>
      </c>
      <c r="D129" s="52"/>
    </row>
    <row r="130" spans="1:4" ht="16.5" thickBot="1">
      <c r="A130" s="138" t="s">
        <v>16</v>
      </c>
      <c r="B130" s="4" t="s">
        <v>41</v>
      </c>
      <c r="C130" s="139">
        <f>D76</f>
        <v>167.58972160000002</v>
      </c>
      <c r="D130" s="52"/>
    </row>
    <row r="131" spans="1:4" ht="16.5" thickBot="1">
      <c r="A131" s="138" t="s">
        <v>17</v>
      </c>
      <c r="B131" s="4" t="s">
        <v>48</v>
      </c>
      <c r="C131" s="139">
        <f>C102</f>
        <v>331.09724656313949</v>
      </c>
      <c r="D131" s="52"/>
    </row>
    <row r="132" spans="1:4" ht="16.5" thickBot="1">
      <c r="A132" s="138" t="s">
        <v>18</v>
      </c>
      <c r="B132" s="4" t="s">
        <v>57</v>
      </c>
      <c r="C132" s="139">
        <f>C111</f>
        <v>227.37421778771545</v>
      </c>
      <c r="D132" s="52"/>
    </row>
    <row r="133" spans="1:4" ht="16.5" thickBot="1">
      <c r="A133" s="216" t="s">
        <v>63</v>
      </c>
      <c r="B133" s="232"/>
      <c r="C133" s="140">
        <f>SUM(C128:C132)</f>
        <v>5184.0746752257355</v>
      </c>
      <c r="D133" s="141"/>
    </row>
    <row r="134" spans="1:4" ht="16.5" thickBot="1">
      <c r="A134" s="138" t="s">
        <v>20</v>
      </c>
      <c r="B134" s="4" t="s">
        <v>64</v>
      </c>
      <c r="C134" s="139">
        <f>D122</f>
        <v>1131.760319835807</v>
      </c>
      <c r="D134" s="52"/>
    </row>
    <row r="135" spans="1:4" ht="16.5" thickBot="1">
      <c r="A135" s="138"/>
      <c r="B135" s="4"/>
      <c r="C135" s="139"/>
      <c r="D135" s="52"/>
    </row>
    <row r="136" spans="1:4" ht="16.5" thickBot="1">
      <c r="A136" s="216" t="s">
        <v>65</v>
      </c>
      <c r="B136" s="232"/>
      <c r="C136" s="140">
        <f>SUM(C133:C135)+0.02</f>
        <v>6315.8549950615434</v>
      </c>
      <c r="D136" s="52"/>
    </row>
  </sheetData>
  <mergeCells count="44">
    <mergeCell ref="A76:B76"/>
    <mergeCell ref="A78:D78"/>
    <mergeCell ref="A79:D79"/>
    <mergeCell ref="A80:D80"/>
    <mergeCell ref="A59:C59"/>
    <mergeCell ref="A65:B65"/>
    <mergeCell ref="A67:D67"/>
    <mergeCell ref="A68:D68"/>
    <mergeCell ref="A9:D9"/>
    <mergeCell ref="A125:C125"/>
    <mergeCell ref="A133:B133"/>
    <mergeCell ref="A136:B136"/>
    <mergeCell ref="A113:D113"/>
    <mergeCell ref="A122:B122"/>
    <mergeCell ref="A91:D91"/>
    <mergeCell ref="A95:B95"/>
    <mergeCell ref="A97:C97"/>
    <mergeCell ref="A102:B102"/>
    <mergeCell ref="A104:C104"/>
    <mergeCell ref="A111:B111"/>
    <mergeCell ref="A89:B89"/>
    <mergeCell ref="A43:B43"/>
    <mergeCell ref="A45:D45"/>
    <mergeCell ref="A57:B57"/>
    <mergeCell ref="B16:C16"/>
    <mergeCell ref="B11:C11"/>
    <mergeCell ref="B12:C12"/>
    <mergeCell ref="B13:C13"/>
    <mergeCell ref="B14:C14"/>
    <mergeCell ref="B15:C15"/>
    <mergeCell ref="A30:B30"/>
    <mergeCell ref="A32:D32"/>
    <mergeCell ref="B17:C17"/>
    <mergeCell ref="B18:C18"/>
    <mergeCell ref="A20:C20"/>
    <mergeCell ref="A19:C19"/>
    <mergeCell ref="A23:D23"/>
    <mergeCell ref="A25:D25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portrait" r:id="rId1"/>
  <rowBreaks count="2" manualBreakCount="2">
    <brk id="58" max="3" man="1"/>
    <brk id="112" max="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5"/>
  <sheetViews>
    <sheetView view="pageBreakPreview" zoomScaleSheetLayoutView="100" workbookViewId="0">
      <selection sqref="A1:XFD1048576"/>
    </sheetView>
  </sheetViews>
  <sheetFormatPr defaultColWidth="8.85546875" defaultRowHeight="15"/>
  <cols>
    <col min="1" max="1" width="6.85546875" style="55" customWidth="1"/>
    <col min="2" max="2" width="61.5703125" style="55" customWidth="1"/>
    <col min="3" max="3" width="17.7109375" style="55" customWidth="1"/>
    <col min="4" max="4" width="15.7109375" style="55" customWidth="1"/>
    <col min="5" max="5" width="39.28515625" style="55" customWidth="1"/>
    <col min="6" max="6" width="9.28515625" style="55" bestFit="1" customWidth="1"/>
    <col min="7" max="16384" width="8.85546875" style="55"/>
  </cols>
  <sheetData>
    <row r="1" spans="1:6" ht="15.75">
      <c r="A1" s="52"/>
      <c r="B1" s="52"/>
      <c r="C1" s="52"/>
      <c r="D1" s="52"/>
    </row>
    <row r="2" spans="1:6" ht="15" customHeight="1">
      <c r="A2" s="209" t="s">
        <v>76</v>
      </c>
      <c r="B2" s="210"/>
      <c r="C2" s="210"/>
      <c r="D2" s="211"/>
    </row>
    <row r="3" spans="1:6" ht="15" customHeight="1">
      <c r="A3" s="212" t="s">
        <v>145</v>
      </c>
      <c r="B3" s="213"/>
      <c r="C3" s="213"/>
      <c r="D3" s="214"/>
    </row>
    <row r="4" spans="1:6" ht="15" customHeight="1">
      <c r="A4" s="207" t="str">
        <f>'VACC Dia'!A4</f>
        <v>AM000057/2024</v>
      </c>
      <c r="B4" s="208"/>
      <c r="C4" s="3" t="s">
        <v>77</v>
      </c>
      <c r="D4" s="2">
        <f>'VACC Dia'!D4</f>
        <v>45323</v>
      </c>
    </row>
    <row r="5" spans="1:6" ht="15" customHeight="1">
      <c r="A5" s="207" t="s">
        <v>130</v>
      </c>
      <c r="B5" s="208"/>
      <c r="C5" s="3" t="s">
        <v>87</v>
      </c>
      <c r="D5" s="49">
        <v>5173</v>
      </c>
    </row>
    <row r="6" spans="1:6">
      <c r="A6" s="207" t="s">
        <v>79</v>
      </c>
      <c r="B6" s="208"/>
      <c r="C6" s="3" t="s">
        <v>80</v>
      </c>
      <c r="D6" s="50">
        <f>Principal!F8</f>
        <v>2</v>
      </c>
    </row>
    <row r="7" spans="1:6">
      <c r="A7" s="207" t="s">
        <v>81</v>
      </c>
      <c r="B7" s="208"/>
      <c r="C7" s="3" t="s">
        <v>82</v>
      </c>
      <c r="D7" s="51" t="s">
        <v>83</v>
      </c>
    </row>
    <row r="8" spans="1:6" ht="15.75">
      <c r="A8" s="52"/>
      <c r="B8" s="52"/>
      <c r="C8" s="52"/>
      <c r="D8" s="52"/>
    </row>
    <row r="9" spans="1:6" ht="15.75">
      <c r="A9" s="215" t="s">
        <v>9</v>
      </c>
      <c r="B9" s="215"/>
      <c r="C9" s="215"/>
      <c r="D9" s="215"/>
    </row>
    <row r="10" spans="1:6" ht="16.5" thickBot="1">
      <c r="A10" s="52"/>
      <c r="B10" s="52"/>
      <c r="C10" s="52"/>
      <c r="D10" s="52"/>
    </row>
    <row r="11" spans="1:6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6" ht="16.5" thickBot="1">
      <c r="A12" s="58" t="s">
        <v>12</v>
      </c>
      <c r="B12" s="218" t="s">
        <v>13</v>
      </c>
      <c r="C12" s="219"/>
      <c r="D12" s="53">
        <f>'VACC Dia'!D12</f>
        <v>1680</v>
      </c>
      <c r="E12" s="150"/>
      <c r="F12" s="142"/>
    </row>
    <row r="13" spans="1:6" ht="16.5" thickBot="1">
      <c r="A13" s="58" t="s">
        <v>14</v>
      </c>
      <c r="B13" s="218" t="s">
        <v>144</v>
      </c>
      <c r="C13" s="219"/>
      <c r="D13" s="54">
        <f>$D$12*0.1</f>
        <v>168</v>
      </c>
      <c r="E13" s="59"/>
      <c r="F13" s="142"/>
    </row>
    <row r="14" spans="1:6" ht="16.5" thickBot="1">
      <c r="A14" s="58" t="s">
        <v>16</v>
      </c>
      <c r="B14" s="218" t="s">
        <v>15</v>
      </c>
      <c r="C14" s="219"/>
      <c r="D14" s="54">
        <f>$D$12*0.3</f>
        <v>504</v>
      </c>
      <c r="E14" s="59"/>
    </row>
    <row r="15" spans="1:6" ht="16.5" thickBot="1">
      <c r="A15" s="58" t="s">
        <v>17</v>
      </c>
      <c r="B15" s="218" t="s">
        <v>0</v>
      </c>
      <c r="C15" s="219"/>
      <c r="D15" s="14">
        <f>(($D$12+$D$14)/192*0.2*8*16)</f>
        <v>291.2</v>
      </c>
      <c r="E15" s="59"/>
    </row>
    <row r="16" spans="1:6" ht="16.5" thickBot="1">
      <c r="A16" s="58" t="s">
        <v>18</v>
      </c>
      <c r="B16" s="218" t="s">
        <v>19</v>
      </c>
      <c r="C16" s="219"/>
      <c r="D16" s="14">
        <f>((($D$12+$D$14+$D$15)/192*1.5)*16)</f>
        <v>309.39999999999998</v>
      </c>
      <c r="E16" s="59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9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2952.6</v>
      </c>
      <c r="E19" s="151"/>
    </row>
    <row r="20" spans="1:5" ht="16.5" thickBot="1">
      <c r="A20" s="220" t="s">
        <v>149</v>
      </c>
      <c r="B20" s="221"/>
      <c r="C20" s="222"/>
      <c r="D20" s="18">
        <f>D19-D18</f>
        <v>2952.6</v>
      </c>
      <c r="E20" s="59"/>
    </row>
    <row r="21" spans="1:5" ht="15.75">
      <c r="A21" s="52"/>
      <c r="B21" s="52"/>
      <c r="C21" s="52"/>
      <c r="D21" s="59">
        <f>D20-D19</f>
        <v>0</v>
      </c>
    </row>
    <row r="22" spans="1:5" ht="15.75">
      <c r="A22" s="215" t="s">
        <v>22</v>
      </c>
      <c r="B22" s="215"/>
      <c r="C22" s="215"/>
      <c r="D22" s="215"/>
    </row>
    <row r="23" spans="1:5" ht="8.4499999999999993" customHeight="1">
      <c r="A23" s="62"/>
      <c r="B23" s="52"/>
      <c r="C23" s="52"/>
      <c r="D23" s="52"/>
    </row>
    <row r="24" spans="1:5" ht="15.75">
      <c r="A24" s="223" t="s">
        <v>23</v>
      </c>
      <c r="B24" s="223"/>
      <c r="C24" s="223"/>
      <c r="D24" s="223"/>
    </row>
    <row r="25" spans="1:5" ht="16.5" thickBot="1">
      <c r="A25" s="52"/>
      <c r="B25" s="63" t="s">
        <v>71</v>
      </c>
      <c r="C25" s="52"/>
      <c r="D25" s="52"/>
    </row>
    <row r="26" spans="1:5" ht="16.5" thickBot="1">
      <c r="A26" s="56" t="s">
        <v>24</v>
      </c>
      <c r="B26" s="57" t="s">
        <v>25</v>
      </c>
      <c r="C26" s="56" t="s">
        <v>72</v>
      </c>
      <c r="D26" s="57" t="s">
        <v>11</v>
      </c>
      <c r="E26" s="52"/>
    </row>
    <row r="27" spans="1:5" ht="16.5" thickBot="1">
      <c r="A27" s="58" t="s">
        <v>12</v>
      </c>
      <c r="B27" s="4" t="s">
        <v>245</v>
      </c>
      <c r="C27" s="64">
        <v>8.3333329999999997E-2</v>
      </c>
      <c r="D27" s="65">
        <f>D20*C27</f>
        <v>246.04999015799999</v>
      </c>
      <c r="E27" s="59"/>
    </row>
    <row r="28" spans="1:5" ht="16.5" thickBot="1">
      <c r="A28" s="58" t="s">
        <v>14</v>
      </c>
      <c r="B28" s="4" t="s">
        <v>148</v>
      </c>
      <c r="C28" s="66">
        <f>((1/12)+(1/3/12))</f>
        <v>0.1111111111111111</v>
      </c>
      <c r="D28" s="65">
        <f>D20*C28</f>
        <v>328.06666666666666</v>
      </c>
      <c r="E28" s="59"/>
    </row>
    <row r="29" spans="1:5" ht="16.5" thickBot="1">
      <c r="A29" s="220" t="s">
        <v>1</v>
      </c>
      <c r="B29" s="224"/>
      <c r="C29" s="67">
        <f>SUM(C27:C28)</f>
        <v>0.19444444111111109</v>
      </c>
      <c r="D29" s="68">
        <f>SUM(D27:D28)</f>
        <v>574.11665682466662</v>
      </c>
      <c r="E29" s="52"/>
    </row>
    <row r="30" spans="1:5" ht="10.9" customHeight="1">
      <c r="A30" s="52"/>
      <c r="B30" s="52"/>
      <c r="C30" s="52"/>
      <c r="D30" s="52"/>
    </row>
    <row r="31" spans="1:5" ht="15.75">
      <c r="A31" s="225" t="s">
        <v>26</v>
      </c>
      <c r="B31" s="225"/>
      <c r="C31" s="225"/>
      <c r="D31" s="225"/>
    </row>
    <row r="32" spans="1:5" ht="16.5" thickBot="1">
      <c r="A32" s="52"/>
      <c r="B32" s="63" t="s">
        <v>70</v>
      </c>
      <c r="C32" s="52"/>
      <c r="D32" s="52"/>
    </row>
    <row r="33" spans="1:5" ht="16.5" thickBot="1">
      <c r="A33" s="56" t="s">
        <v>27</v>
      </c>
      <c r="B33" s="57" t="s">
        <v>28</v>
      </c>
      <c r="C33" s="57" t="s">
        <v>29</v>
      </c>
      <c r="D33" s="57" t="s">
        <v>11</v>
      </c>
    </row>
    <row r="34" spans="1:5" ht="16.5" thickBot="1">
      <c r="A34" s="58" t="s">
        <v>12</v>
      </c>
      <c r="B34" s="4" t="s">
        <v>30</v>
      </c>
      <c r="C34" s="69">
        <v>0.2</v>
      </c>
      <c r="D34" s="65">
        <f t="shared" ref="D34:D41" si="0">($D$20+$D$29)*C34</f>
        <v>705.34333136493342</v>
      </c>
    </row>
    <row r="35" spans="1:5" ht="14.25" customHeight="1" thickBot="1">
      <c r="A35" s="58" t="s">
        <v>14</v>
      </c>
      <c r="B35" s="4" t="s">
        <v>31</v>
      </c>
      <c r="C35" s="69">
        <v>2.5000000000000001E-2</v>
      </c>
      <c r="D35" s="65">
        <f t="shared" si="0"/>
        <v>88.167916420616677</v>
      </c>
      <c r="E35" s="143"/>
    </row>
    <row r="36" spans="1:5" ht="16.5" thickBot="1">
      <c r="A36" s="58" t="s">
        <v>16</v>
      </c>
      <c r="B36" s="4" t="s">
        <v>67</v>
      </c>
      <c r="C36" s="69">
        <v>0.03</v>
      </c>
      <c r="D36" s="65">
        <f t="shared" si="0"/>
        <v>105.80149970474</v>
      </c>
    </row>
    <row r="37" spans="1:5" ht="16.5" thickBot="1">
      <c r="A37" s="58" t="s">
        <v>17</v>
      </c>
      <c r="B37" s="4" t="s">
        <v>32</v>
      </c>
      <c r="C37" s="69">
        <v>1.4999999999999999E-2</v>
      </c>
      <c r="D37" s="65">
        <f t="shared" si="0"/>
        <v>52.900749852369998</v>
      </c>
    </row>
    <row r="38" spans="1:5" ht="16.5" thickBot="1">
      <c r="A38" s="58" t="s">
        <v>18</v>
      </c>
      <c r="B38" s="4" t="s">
        <v>33</v>
      </c>
      <c r="C38" s="69">
        <v>0.01</v>
      </c>
      <c r="D38" s="65">
        <f t="shared" si="0"/>
        <v>35.267166568246665</v>
      </c>
    </row>
    <row r="39" spans="1:5" ht="16.5" thickBot="1">
      <c r="A39" s="58" t="s">
        <v>20</v>
      </c>
      <c r="B39" s="4" t="s">
        <v>2</v>
      </c>
      <c r="C39" s="69">
        <v>6.0000000000000001E-3</v>
      </c>
      <c r="D39" s="65">
        <f t="shared" si="0"/>
        <v>21.160299940948001</v>
      </c>
      <c r="E39" s="143"/>
    </row>
    <row r="40" spans="1:5" ht="16.5" thickBot="1">
      <c r="A40" s="58" t="s">
        <v>21</v>
      </c>
      <c r="B40" s="4" t="s">
        <v>3</v>
      </c>
      <c r="C40" s="69">
        <v>2E-3</v>
      </c>
      <c r="D40" s="65">
        <f t="shared" si="0"/>
        <v>7.0534333136493332</v>
      </c>
      <c r="E40" s="143"/>
    </row>
    <row r="41" spans="1:5" ht="15.75" customHeight="1" thickBot="1">
      <c r="A41" s="58" t="s">
        <v>34</v>
      </c>
      <c r="B41" s="4" t="s">
        <v>4</v>
      </c>
      <c r="C41" s="69">
        <v>0.08</v>
      </c>
      <c r="D41" s="65">
        <f t="shared" si="0"/>
        <v>282.13733254597332</v>
      </c>
      <c r="E41" s="144"/>
    </row>
    <row r="42" spans="1:5" ht="16.5" thickBot="1">
      <c r="A42" s="220" t="s">
        <v>35</v>
      </c>
      <c r="B42" s="224"/>
      <c r="C42" s="73">
        <f>SUM(C34:C41)</f>
        <v>0.36800000000000005</v>
      </c>
      <c r="D42" s="68">
        <f>SUM(D34:D41)</f>
        <v>1297.8317297114772</v>
      </c>
    </row>
    <row r="43" spans="1:5" ht="8.4499999999999993" customHeight="1">
      <c r="A43" s="52"/>
      <c r="B43" s="52"/>
      <c r="C43" s="52"/>
      <c r="D43" s="52"/>
    </row>
    <row r="44" spans="1:5" ht="15.75">
      <c r="A44" s="223" t="s">
        <v>36</v>
      </c>
      <c r="B44" s="223"/>
      <c r="C44" s="223"/>
      <c r="D44" s="223"/>
    </row>
    <row r="45" spans="1:5" ht="16.5" thickBot="1">
      <c r="A45" s="52"/>
      <c r="B45" s="63" t="s">
        <v>69</v>
      </c>
      <c r="C45" s="52"/>
      <c r="D45" s="52"/>
    </row>
    <row r="46" spans="1:5" ht="16.5" thickBot="1">
      <c r="A46" s="56" t="s">
        <v>37</v>
      </c>
      <c r="B46" s="57" t="s">
        <v>38</v>
      </c>
      <c r="C46" s="74" t="s">
        <v>232</v>
      </c>
      <c r="D46" s="57" t="s">
        <v>11</v>
      </c>
      <c r="E46" s="52"/>
    </row>
    <row r="47" spans="1:5" ht="16.5" thickBot="1">
      <c r="A47" s="58" t="s">
        <v>12</v>
      </c>
      <c r="B47" s="4" t="s">
        <v>228</v>
      </c>
      <c r="C47" s="75" t="s">
        <v>154</v>
      </c>
      <c r="D47" s="54">
        <f>'VACC Dia'!D48</f>
        <v>135</v>
      </c>
      <c r="E47" s="52"/>
    </row>
    <row r="48" spans="1:5" ht="18" customHeight="1" thickBot="1">
      <c r="A48" s="58"/>
      <c r="B48" s="4" t="s">
        <v>68</v>
      </c>
      <c r="C48" s="78">
        <f>CCT!D31</f>
        <v>0.06</v>
      </c>
      <c r="D48" s="54">
        <f>-($D$12*C48)</f>
        <v>-100.8</v>
      </c>
      <c r="E48" s="52"/>
    </row>
    <row r="49" spans="1:5" ht="16.5" thickBot="1">
      <c r="A49" s="58" t="s">
        <v>14</v>
      </c>
      <c r="B49" s="4" t="s">
        <v>233</v>
      </c>
      <c r="C49" s="75" t="str">
        <f>'VACC Dia'!C50</f>
        <v>R$31,20*15</v>
      </c>
      <c r="D49" s="76">
        <f>15*CCT!C30</f>
        <v>468</v>
      </c>
      <c r="E49" s="52"/>
    </row>
    <row r="50" spans="1:5" ht="16.5" thickBot="1">
      <c r="A50" s="58"/>
      <c r="B50" s="4" t="s">
        <v>151</v>
      </c>
      <c r="C50" s="78">
        <f>CCT!D30</f>
        <v>0.05</v>
      </c>
      <c r="D50" s="54">
        <f>-C50*D49</f>
        <v>-23.400000000000002</v>
      </c>
      <c r="E50" s="52"/>
    </row>
    <row r="51" spans="1:5" ht="16.5" thickBot="1">
      <c r="A51" s="79" t="s">
        <v>16</v>
      </c>
      <c r="B51" s="80" t="s">
        <v>125</v>
      </c>
      <c r="C51" s="4"/>
      <c r="D51" s="54">
        <v>0</v>
      </c>
      <c r="E51" s="52"/>
    </row>
    <row r="52" spans="1:5" ht="16.5" thickBot="1">
      <c r="A52" s="58" t="s">
        <v>17</v>
      </c>
      <c r="B52" s="4" t="s">
        <v>236</v>
      </c>
      <c r="C52" s="145"/>
      <c r="D52" s="82">
        <f>CCT!C32</f>
        <v>136.88999999999999</v>
      </c>
      <c r="E52" s="83"/>
    </row>
    <row r="53" spans="1:5" ht="16.5" thickBot="1">
      <c r="A53" s="58"/>
      <c r="B53" s="4" t="s">
        <v>152</v>
      </c>
      <c r="C53" s="84">
        <f>CCT!D32</f>
        <v>0.05</v>
      </c>
      <c r="D53" s="54">
        <f>-CCT!C32*CCT!D32</f>
        <v>-6.8445</v>
      </c>
      <c r="E53" s="52"/>
    </row>
    <row r="54" spans="1:5" ht="16.5" thickBot="1">
      <c r="A54" s="58" t="s">
        <v>18</v>
      </c>
      <c r="B54" s="4" t="s">
        <v>197</v>
      </c>
      <c r="C54" s="4"/>
      <c r="D54" s="81">
        <f>CCT!C33</f>
        <v>12</v>
      </c>
      <c r="E54" s="52"/>
    </row>
    <row r="55" spans="1:5" ht="16.5" thickBot="1">
      <c r="A55" s="58" t="s">
        <v>20</v>
      </c>
      <c r="B55" s="4" t="s">
        <v>239</v>
      </c>
      <c r="C55" s="86">
        <f>CCT!D33</f>
        <v>0.5</v>
      </c>
      <c r="D55" s="54">
        <f>-C55*D54</f>
        <v>-6</v>
      </c>
      <c r="E55" s="52"/>
    </row>
    <row r="56" spans="1:5" ht="16.5" thickBot="1">
      <c r="A56" s="220" t="s">
        <v>1</v>
      </c>
      <c r="B56" s="224"/>
      <c r="C56" s="87"/>
      <c r="D56" s="18">
        <f>SUM(D47:D55)</f>
        <v>614.84550000000002</v>
      </c>
      <c r="E56" s="52"/>
    </row>
    <row r="57" spans="1:5" ht="15.75">
      <c r="A57" s="52"/>
      <c r="B57" s="52"/>
      <c r="C57" s="52"/>
      <c r="D57" s="52"/>
    </row>
    <row r="58" spans="1:5" ht="15.75">
      <c r="A58" s="223" t="s">
        <v>39</v>
      </c>
      <c r="B58" s="223"/>
      <c r="C58" s="223"/>
      <c r="D58" s="52"/>
    </row>
    <row r="59" spans="1:5" ht="16.5" thickBot="1">
      <c r="A59" s="52"/>
      <c r="B59" s="88" t="s">
        <v>246</v>
      </c>
      <c r="C59" s="52"/>
      <c r="D59" s="52"/>
    </row>
    <row r="60" spans="1:5" ht="16.5" thickBot="1">
      <c r="A60" s="56">
        <v>2</v>
      </c>
      <c r="B60" s="57" t="s">
        <v>40</v>
      </c>
      <c r="C60" s="57" t="s">
        <v>11</v>
      </c>
      <c r="D60" s="52"/>
    </row>
    <row r="61" spans="1:5" ht="16.5" thickBot="1">
      <c r="A61" s="58" t="s">
        <v>24</v>
      </c>
      <c r="B61" s="4" t="s">
        <v>25</v>
      </c>
      <c r="C61" s="65">
        <f>D29+0.03</f>
        <v>574.14665682466659</v>
      </c>
      <c r="D61" s="52"/>
    </row>
    <row r="62" spans="1:5" ht="16.5" thickBot="1">
      <c r="A62" s="58" t="s">
        <v>27</v>
      </c>
      <c r="B62" s="4" t="s">
        <v>28</v>
      </c>
      <c r="C62" s="65">
        <f>D42</f>
        <v>1297.8317297114772</v>
      </c>
      <c r="D62" s="52"/>
    </row>
    <row r="63" spans="1:5" ht="16.5" thickBot="1">
      <c r="A63" s="58" t="s">
        <v>37</v>
      </c>
      <c r="B63" s="4" t="s">
        <v>38</v>
      </c>
      <c r="C63" s="65">
        <f>D56</f>
        <v>614.84550000000002</v>
      </c>
      <c r="D63" s="52"/>
    </row>
    <row r="64" spans="1:5" ht="16.5" thickBot="1">
      <c r="A64" s="226" t="s">
        <v>1</v>
      </c>
      <c r="B64" s="227"/>
      <c r="C64" s="89">
        <f>SUM(C61:C63)</f>
        <v>2486.8238865361436</v>
      </c>
      <c r="D64" s="52"/>
    </row>
    <row r="65" spans="1:5" ht="15.75">
      <c r="A65" s="90"/>
      <c r="B65" s="52"/>
      <c r="C65" s="52"/>
      <c r="D65" s="52"/>
    </row>
    <row r="66" spans="1:5" ht="15.75">
      <c r="A66" s="215" t="s">
        <v>41</v>
      </c>
      <c r="B66" s="215"/>
      <c r="C66" s="215"/>
      <c r="D66" s="215"/>
    </row>
    <row r="67" spans="1:5" ht="15.75" thickBot="1">
      <c r="A67" s="234" t="s">
        <v>142</v>
      </c>
      <c r="B67" s="234"/>
      <c r="C67" s="234"/>
      <c r="D67" s="234"/>
    </row>
    <row r="68" spans="1:5" ht="16.5" thickBot="1">
      <c r="A68" s="56">
        <v>3</v>
      </c>
      <c r="B68" s="57" t="s">
        <v>42</v>
      </c>
      <c r="C68" s="56" t="s">
        <v>72</v>
      </c>
      <c r="D68" s="56" t="s">
        <v>11</v>
      </c>
      <c r="E68" s="146"/>
    </row>
    <row r="69" spans="1:5" ht="16.5" thickBot="1">
      <c r="A69" s="58" t="s">
        <v>12</v>
      </c>
      <c r="B69" s="93" t="s">
        <v>43</v>
      </c>
      <c r="C69" s="94">
        <f>(100%*(1/12)*5%)*100%</f>
        <v>4.1666666666666666E-3</v>
      </c>
      <c r="D69" s="95">
        <f>C69*$D$20</f>
        <v>12.3025</v>
      </c>
      <c r="E69" s="96"/>
    </row>
    <row r="70" spans="1:5" ht="16.5" thickBot="1">
      <c r="A70" s="58" t="s">
        <v>14</v>
      </c>
      <c r="B70" s="93" t="s">
        <v>44</v>
      </c>
      <c r="C70" s="97">
        <f>C69*C41</f>
        <v>3.3333333333333332E-4</v>
      </c>
      <c r="D70" s="95">
        <f t="shared" ref="D70:D74" si="1">C70*$D$20</f>
        <v>0.98419999999999996</v>
      </c>
      <c r="E70" s="96"/>
    </row>
    <row r="71" spans="1:5" ht="32.25" thickBot="1">
      <c r="A71" s="58" t="s">
        <v>16</v>
      </c>
      <c r="B71" s="93" t="s">
        <v>45</v>
      </c>
      <c r="C71" s="98">
        <f>C70*40%</f>
        <v>1.3333333333333334E-4</v>
      </c>
      <c r="D71" s="95">
        <f t="shared" si="1"/>
        <v>0.39368000000000003</v>
      </c>
      <c r="E71" s="52"/>
    </row>
    <row r="72" spans="1:5" ht="16.5" thickBot="1">
      <c r="A72" s="58" t="s">
        <v>17</v>
      </c>
      <c r="B72" s="93" t="s">
        <v>46</v>
      </c>
      <c r="C72" s="99">
        <f>((7/30)/12)</f>
        <v>1.9444444444444445E-2</v>
      </c>
      <c r="D72" s="95">
        <f t="shared" si="1"/>
        <v>57.411666666666669</v>
      </c>
      <c r="E72" s="52"/>
    </row>
    <row r="73" spans="1:5" ht="32.25" thickBot="1">
      <c r="A73" s="58" t="s">
        <v>18</v>
      </c>
      <c r="B73" s="93" t="s">
        <v>78</v>
      </c>
      <c r="C73" s="98">
        <f>C42*C72</f>
        <v>7.1555555555555565E-3</v>
      </c>
      <c r="D73" s="95">
        <f t="shared" si="1"/>
        <v>21.127493333333334</v>
      </c>
      <c r="E73" s="52"/>
    </row>
    <row r="74" spans="1:5" ht="32.25" thickBot="1">
      <c r="A74" s="58" t="s">
        <v>20</v>
      </c>
      <c r="B74" s="93" t="s">
        <v>47</v>
      </c>
      <c r="C74" s="98">
        <f>((100%+8.33%+11.11%)*8%*40%+0.18%)</f>
        <v>4.0020800000000002E-2</v>
      </c>
      <c r="D74" s="95">
        <f t="shared" si="1"/>
        <v>118.16541408000001</v>
      </c>
      <c r="E74" s="52"/>
    </row>
    <row r="75" spans="1:5" ht="16.5" thickBot="1">
      <c r="A75" s="229" t="s">
        <v>1</v>
      </c>
      <c r="B75" s="230"/>
      <c r="C75" s="100">
        <f>SUM(C69:C74)</f>
        <v>7.125413333333333E-2</v>
      </c>
      <c r="D75" s="101">
        <f>SUM(D69:D74)</f>
        <v>210.38495408</v>
      </c>
      <c r="E75" s="52"/>
    </row>
    <row r="76" spans="1:5" ht="15.75">
      <c r="A76" s="52"/>
      <c r="B76" s="52"/>
      <c r="C76" s="103"/>
      <c r="D76" s="52"/>
    </row>
    <row r="77" spans="1:5" ht="15.75">
      <c r="A77" s="215" t="s">
        <v>48</v>
      </c>
      <c r="B77" s="215"/>
      <c r="C77" s="215"/>
      <c r="D77" s="215"/>
    </row>
    <row r="78" spans="1:5">
      <c r="A78" s="233"/>
      <c r="B78" s="233"/>
      <c r="C78" s="233"/>
      <c r="D78" s="233"/>
    </row>
    <row r="79" spans="1:5" ht="15.75">
      <c r="A79" s="223" t="s">
        <v>49</v>
      </c>
      <c r="B79" s="223"/>
      <c r="C79" s="223"/>
      <c r="D79" s="223"/>
      <c r="E79" s="106" t="s">
        <v>176</v>
      </c>
    </row>
    <row r="80" spans="1:5" ht="16.5" thickBot="1">
      <c r="D80" s="59"/>
    </row>
    <row r="81" spans="1:5" ht="16.5" thickBot="1">
      <c r="A81" s="56" t="s">
        <v>50</v>
      </c>
      <c r="B81" s="57" t="s">
        <v>51</v>
      </c>
      <c r="C81" s="56" t="s">
        <v>72</v>
      </c>
      <c r="D81" s="57" t="s">
        <v>11</v>
      </c>
      <c r="E81" s="52"/>
    </row>
    <row r="82" spans="1:5" ht="16.5" thickBot="1">
      <c r="A82" s="58" t="s">
        <v>12</v>
      </c>
      <c r="B82" s="4" t="s">
        <v>150</v>
      </c>
      <c r="C82" s="107">
        <f>((((1/12/12))+(((1/12/12)/3))*100%))</f>
        <v>9.2592592592592587E-3</v>
      </c>
      <c r="D82" s="65">
        <f>($D$20+$D$29+$D$42)*C82*0</f>
        <v>0</v>
      </c>
      <c r="E82" s="59"/>
    </row>
    <row r="83" spans="1:5" ht="16.5" thickBot="1">
      <c r="A83" s="58" t="s">
        <v>14</v>
      </c>
      <c r="B83" s="4" t="s">
        <v>137</v>
      </c>
      <c r="C83" s="107">
        <f>((2/30)/12)*100%</f>
        <v>5.5555555555555558E-3</v>
      </c>
      <c r="D83" s="65">
        <f t="shared" ref="D83:D87" si="2">($D$20+$D$29+$D$42)*C83</f>
        <v>26.803046591867467</v>
      </c>
      <c r="E83" s="52"/>
    </row>
    <row r="84" spans="1:5" ht="16.5" thickBot="1">
      <c r="A84" s="58" t="s">
        <v>16</v>
      </c>
      <c r="B84" s="4" t="s">
        <v>138</v>
      </c>
      <c r="C84" s="110">
        <f>(((5/30)/12)*0.015)*100%</f>
        <v>2.0833333333333332E-4</v>
      </c>
      <c r="D84" s="65">
        <f t="shared" si="2"/>
        <v>1.0051142471950298</v>
      </c>
      <c r="E84" s="109"/>
    </row>
    <row r="85" spans="1:5" ht="16.5" thickBot="1">
      <c r="A85" s="58" t="s">
        <v>18</v>
      </c>
      <c r="B85" s="4" t="s">
        <v>139</v>
      </c>
      <c r="C85" s="110">
        <f>(((15/30)/12)*0.08)*100%</f>
        <v>3.3333333333333331E-3</v>
      </c>
      <c r="D85" s="65">
        <f t="shared" si="2"/>
        <v>16.081827955120477</v>
      </c>
      <c r="E85" s="52"/>
    </row>
    <row r="86" spans="1:5" ht="16.5" thickBot="1">
      <c r="A86" s="58" t="s">
        <v>17</v>
      </c>
      <c r="B86" s="111" t="s">
        <v>140</v>
      </c>
      <c r="C86" s="112">
        <f>((4/12)/12*0.02*100%)</f>
        <v>5.5555555555555556E-4</v>
      </c>
      <c r="D86" s="65">
        <f t="shared" si="2"/>
        <v>2.6803046591867465</v>
      </c>
      <c r="E86" s="52"/>
    </row>
    <row r="87" spans="1:5" ht="16.5" thickBot="1">
      <c r="A87" s="58" t="s">
        <v>20</v>
      </c>
      <c r="B87" s="4" t="s">
        <v>141</v>
      </c>
      <c r="C87" s="110">
        <v>0</v>
      </c>
      <c r="D87" s="65">
        <f t="shared" si="2"/>
        <v>0</v>
      </c>
      <c r="E87" s="59"/>
    </row>
    <row r="88" spans="1:5" ht="16.5" thickBot="1">
      <c r="A88" s="216" t="s">
        <v>35</v>
      </c>
      <c r="B88" s="232"/>
      <c r="C88" s="113">
        <f>SUM(C82:C87)</f>
        <v>1.8912037037037036E-2</v>
      </c>
      <c r="D88" s="114">
        <f>SUM(D82:D87)</f>
        <v>46.570293453369722</v>
      </c>
      <c r="E88" s="52"/>
    </row>
    <row r="89" spans="1:5" ht="15.75">
      <c r="A89" s="52"/>
      <c r="B89" s="52"/>
      <c r="C89" s="52"/>
      <c r="D89" s="52"/>
    </row>
    <row r="90" spans="1:5" ht="15.75">
      <c r="A90" s="223" t="s">
        <v>52</v>
      </c>
      <c r="B90" s="223"/>
      <c r="C90" s="223"/>
      <c r="D90" s="223"/>
    </row>
    <row r="91" spans="1:5" ht="16.5" thickBot="1">
      <c r="A91" s="62"/>
      <c r="B91" s="52"/>
      <c r="C91" s="52"/>
      <c r="D91" s="52"/>
    </row>
    <row r="92" spans="1:5" ht="16.5" thickBot="1">
      <c r="A92" s="56" t="s">
        <v>53</v>
      </c>
      <c r="B92" s="57" t="s">
        <v>54</v>
      </c>
      <c r="C92" s="56" t="s">
        <v>72</v>
      </c>
      <c r="D92" s="57" t="s">
        <v>11</v>
      </c>
      <c r="E92" s="52"/>
    </row>
    <row r="93" spans="1:5" ht="16.5" thickBot="1">
      <c r="A93" s="58" t="s">
        <v>12</v>
      </c>
      <c r="B93" s="4" t="s">
        <v>66</v>
      </c>
      <c r="C93" s="115" t="s">
        <v>179</v>
      </c>
      <c r="D93" s="116">
        <f>(($D$20/180)*1.5)*15</f>
        <v>369.07499999999993</v>
      </c>
      <c r="E93" s="52"/>
    </row>
    <row r="94" spans="1:5" ht="16.5" thickBot="1">
      <c r="A94" s="216" t="s">
        <v>1</v>
      </c>
      <c r="B94" s="232"/>
      <c r="C94" s="117"/>
      <c r="D94" s="118">
        <f>SUM(D93)</f>
        <v>369.07499999999993</v>
      </c>
      <c r="E94" s="52"/>
    </row>
    <row r="95" spans="1:5" ht="15.75">
      <c r="A95" s="52"/>
      <c r="B95" s="52"/>
      <c r="C95" s="52"/>
      <c r="D95" s="52"/>
      <c r="E95" s="52"/>
    </row>
    <row r="96" spans="1:5" ht="15.75">
      <c r="A96" s="223" t="s">
        <v>55</v>
      </c>
      <c r="B96" s="223"/>
      <c r="C96" s="223"/>
    </row>
    <row r="97" spans="1:5" ht="15.6" customHeight="1" thickBot="1">
      <c r="A97" s="62"/>
      <c r="B97" s="52"/>
      <c r="C97" s="52"/>
    </row>
    <row r="98" spans="1:5" ht="15.6" customHeight="1" thickBot="1">
      <c r="A98" s="56">
        <v>4</v>
      </c>
      <c r="B98" s="57" t="s">
        <v>56</v>
      </c>
      <c r="C98" s="57" t="s">
        <v>11</v>
      </c>
      <c r="D98" s="52"/>
    </row>
    <row r="99" spans="1:5" ht="16.5" thickBot="1">
      <c r="A99" s="58" t="s">
        <v>50</v>
      </c>
      <c r="B99" s="4" t="s">
        <v>51</v>
      </c>
      <c r="C99" s="54">
        <f>D88</f>
        <v>46.570293453369722</v>
      </c>
      <c r="D99" s="52"/>
    </row>
    <row r="100" spans="1:5" ht="16.5" thickBot="1">
      <c r="A100" s="58" t="s">
        <v>53</v>
      </c>
      <c r="B100" s="4" t="s">
        <v>54</v>
      </c>
      <c r="C100" s="54">
        <f>D94</f>
        <v>369.07499999999993</v>
      </c>
      <c r="D100" s="52"/>
    </row>
    <row r="101" spans="1:5" ht="15.75" customHeight="1" thickBot="1">
      <c r="A101" s="216" t="s">
        <v>1</v>
      </c>
      <c r="B101" s="232"/>
      <c r="C101" s="118">
        <f>SUM(C99:C100)</f>
        <v>415.64529345336967</v>
      </c>
      <c r="D101" s="52"/>
    </row>
    <row r="102" spans="1:5" ht="15.75">
      <c r="A102" s="52"/>
      <c r="B102" s="52"/>
      <c r="C102" s="52"/>
      <c r="D102" s="52"/>
    </row>
    <row r="103" spans="1:5" ht="15.75">
      <c r="A103" s="231" t="s">
        <v>57</v>
      </c>
      <c r="B103" s="231"/>
      <c r="C103" s="231"/>
    </row>
    <row r="104" spans="1:5" ht="7.15" customHeight="1" thickBot="1">
      <c r="A104" s="52"/>
      <c r="B104" s="52"/>
      <c r="C104" s="52"/>
    </row>
    <row r="105" spans="1:5" ht="16.5" thickBot="1">
      <c r="A105" s="56">
        <v>5</v>
      </c>
      <c r="B105" s="119" t="s">
        <v>5</v>
      </c>
      <c r="C105" s="57" t="s">
        <v>11</v>
      </c>
      <c r="D105" s="52"/>
    </row>
    <row r="106" spans="1:5" ht="16.5" thickBot="1">
      <c r="A106" s="58" t="s">
        <v>12</v>
      </c>
      <c r="B106" s="4" t="s">
        <v>58</v>
      </c>
      <c r="C106" s="54">
        <f>'VA Dia'!C108</f>
        <v>74.84</v>
      </c>
      <c r="D106" s="52"/>
    </row>
    <row r="107" spans="1:5" ht="16.5" thickBot="1">
      <c r="A107" s="58" t="s">
        <v>14</v>
      </c>
      <c r="B107" s="4" t="s">
        <v>126</v>
      </c>
      <c r="C107" s="54">
        <f>'VA Dia'!C109</f>
        <v>152.53421778771545</v>
      </c>
      <c r="D107" s="52"/>
    </row>
    <row r="108" spans="1:5" ht="16.5" thickBot="1">
      <c r="A108" s="58" t="s">
        <v>16</v>
      </c>
      <c r="B108" s="4" t="s">
        <v>127</v>
      </c>
      <c r="C108" s="14"/>
      <c r="D108" s="52"/>
      <c r="E108" s="52"/>
    </row>
    <row r="109" spans="1:5" ht="16.5" thickBot="1">
      <c r="A109" s="58" t="s">
        <v>17</v>
      </c>
      <c r="B109" s="4" t="s">
        <v>84</v>
      </c>
      <c r="C109" s="54"/>
      <c r="D109" s="52"/>
    </row>
    <row r="110" spans="1:5" ht="16.5" thickBot="1">
      <c r="A110" s="216" t="s">
        <v>35</v>
      </c>
      <c r="B110" s="232"/>
      <c r="C110" s="118">
        <f>SUM(C106:C109)+0.01</f>
        <v>227.38421778771544</v>
      </c>
      <c r="D110" s="52"/>
    </row>
    <row r="111" spans="1:5" ht="15.75">
      <c r="A111" s="52"/>
      <c r="B111" s="52"/>
      <c r="C111" s="52"/>
      <c r="D111" s="52"/>
    </row>
    <row r="112" spans="1:5" ht="15.75">
      <c r="A112" s="231" t="s">
        <v>59</v>
      </c>
      <c r="B112" s="231"/>
      <c r="C112" s="231"/>
      <c r="D112" s="231"/>
    </row>
    <row r="113" spans="1:5" ht="16.5" thickBot="1">
      <c r="A113" s="52"/>
      <c r="B113" s="52"/>
      <c r="C113" s="52"/>
      <c r="D113" s="52"/>
    </row>
    <row r="114" spans="1:5" ht="16.5" thickBot="1">
      <c r="A114" s="56">
        <v>6</v>
      </c>
      <c r="B114" s="119" t="s">
        <v>6</v>
      </c>
      <c r="C114" s="57" t="s">
        <v>29</v>
      </c>
      <c r="D114" s="121" t="s">
        <v>11</v>
      </c>
      <c r="E114" s="122"/>
    </row>
    <row r="115" spans="1:5" ht="16.5" thickBot="1">
      <c r="A115" s="58" t="s">
        <v>12</v>
      </c>
      <c r="B115" s="4" t="s">
        <v>131</v>
      </c>
      <c r="C115" s="110">
        <f>'VA Dia'!C117</f>
        <v>0.05</v>
      </c>
      <c r="D115" s="123">
        <f>$C$132*C115</f>
        <v>314.6414175928615</v>
      </c>
      <c r="E115" s="124"/>
    </row>
    <row r="116" spans="1:5" ht="16.5" thickBot="1">
      <c r="A116" s="58" t="s">
        <v>14</v>
      </c>
      <c r="B116" s="4" t="s">
        <v>8</v>
      </c>
      <c r="C116" s="110">
        <f>'VA Dia'!C118</f>
        <v>6.7900000000000002E-2</v>
      </c>
      <c r="D116" s="123">
        <f>($C$132+$D$115)*C116</f>
        <v>448.6471973456612</v>
      </c>
      <c r="E116" s="124"/>
    </row>
    <row r="117" spans="1:5" ht="16.5" thickBot="1">
      <c r="A117" s="58" t="s">
        <v>16</v>
      </c>
      <c r="B117" s="4" t="s">
        <v>75</v>
      </c>
      <c r="C117" s="125">
        <f>C118+C119+C120</f>
        <v>8.6499999999999994E-2</v>
      </c>
      <c r="D117" s="152"/>
      <c r="E117" s="124"/>
    </row>
    <row r="118" spans="1:5" ht="16.5" thickBot="1">
      <c r="A118" s="58"/>
      <c r="B118" s="4" t="s">
        <v>73</v>
      </c>
      <c r="C118" s="110">
        <v>6.4999999999999997E-3</v>
      </c>
      <c r="D118" s="128">
        <f>(($C$132+$D$115+$D$116)/1-$C$117)*C118</f>
        <v>45.864198034172382</v>
      </c>
      <c r="E118" s="153"/>
    </row>
    <row r="119" spans="1:5" ht="16.5" thickBot="1">
      <c r="A119" s="58"/>
      <c r="B119" s="4" t="s">
        <v>74</v>
      </c>
      <c r="C119" s="127">
        <v>0.03</v>
      </c>
      <c r="D119" s="128">
        <f>(($C$132+$D$115+$D$116)/1-$C$117)*C119</f>
        <v>211.68091400387254</v>
      </c>
      <c r="E119" s="153"/>
    </row>
    <row r="120" spans="1:5" ht="16.5" thickBot="1">
      <c r="A120" s="58"/>
      <c r="B120" s="4" t="s">
        <v>60</v>
      </c>
      <c r="C120" s="110">
        <v>0.05</v>
      </c>
      <c r="D120" s="128">
        <f>(($C$132+$D$115+$D$116)/1-$C$117)*C120</f>
        <v>352.80152333978759</v>
      </c>
      <c r="E120" s="153"/>
    </row>
    <row r="121" spans="1:5" ht="16.5" thickBot="1">
      <c r="A121" s="216" t="s">
        <v>35</v>
      </c>
      <c r="B121" s="232"/>
      <c r="C121" s="129">
        <f>SUM(C115:C120)-C117</f>
        <v>0.2044</v>
      </c>
      <c r="D121" s="154">
        <f>SUM(D115:D120)</f>
        <v>1373.6352503163553</v>
      </c>
    </row>
    <row r="122" spans="1:5" ht="15.75">
      <c r="A122" s="130"/>
      <c r="B122" s="130"/>
      <c r="C122" s="131"/>
      <c r="D122" s="132"/>
    </row>
    <row r="123" spans="1:5" ht="15.75">
      <c r="A123" s="133"/>
      <c r="B123" s="134"/>
      <c r="C123" s="135"/>
      <c r="D123" s="136"/>
      <c r="E123" s="136"/>
    </row>
    <row r="124" spans="1:5" ht="15.75">
      <c r="A124" s="231" t="s">
        <v>61</v>
      </c>
      <c r="B124" s="231"/>
      <c r="C124" s="231"/>
      <c r="D124" s="52"/>
    </row>
    <row r="125" spans="1:5" ht="16.5" thickBot="1">
      <c r="A125" s="52"/>
      <c r="B125" s="52"/>
      <c r="C125" s="52"/>
      <c r="D125" s="52"/>
    </row>
    <row r="126" spans="1:5" ht="32.25" thickBot="1">
      <c r="A126" s="56"/>
      <c r="B126" s="57" t="s">
        <v>62</v>
      </c>
      <c r="C126" s="57" t="s">
        <v>11</v>
      </c>
      <c r="D126" s="52"/>
      <c r="E126" s="137"/>
    </row>
    <row r="127" spans="1:5" ht="16.5" thickBot="1">
      <c r="A127" s="138" t="s">
        <v>12</v>
      </c>
      <c r="B127" s="4" t="s">
        <v>9</v>
      </c>
      <c r="C127" s="139">
        <f>D19</f>
        <v>2952.6</v>
      </c>
      <c r="D127" s="52"/>
      <c r="E127" s="61"/>
    </row>
    <row r="128" spans="1:5" ht="16.5" thickBot="1">
      <c r="A128" s="138" t="s">
        <v>14</v>
      </c>
      <c r="B128" s="4" t="s">
        <v>22</v>
      </c>
      <c r="C128" s="139">
        <f>C64</f>
        <v>2486.8238865361436</v>
      </c>
      <c r="D128" s="52"/>
    </row>
    <row r="129" spans="1:4" ht="16.5" thickBot="1">
      <c r="A129" s="138" t="s">
        <v>16</v>
      </c>
      <c r="B129" s="4" t="s">
        <v>41</v>
      </c>
      <c r="C129" s="139">
        <f>D75</f>
        <v>210.38495408</v>
      </c>
      <c r="D129" s="52"/>
    </row>
    <row r="130" spans="1:4" ht="16.5" thickBot="1">
      <c r="A130" s="138" t="s">
        <v>17</v>
      </c>
      <c r="B130" s="4" t="s">
        <v>48</v>
      </c>
      <c r="C130" s="139">
        <f>C101</f>
        <v>415.64529345336967</v>
      </c>
      <c r="D130" s="52"/>
    </row>
    <row r="131" spans="1:4" ht="16.5" thickBot="1">
      <c r="A131" s="138" t="s">
        <v>18</v>
      </c>
      <c r="B131" s="4" t="s">
        <v>57</v>
      </c>
      <c r="C131" s="139">
        <f>C110</f>
        <v>227.38421778771544</v>
      </c>
      <c r="D131" s="52"/>
    </row>
    <row r="132" spans="1:4" ht="16.5" thickBot="1">
      <c r="A132" s="216" t="s">
        <v>63</v>
      </c>
      <c r="B132" s="232"/>
      <c r="C132" s="140">
        <f>SUM(C127:C131)-0.01</f>
        <v>6292.8283518572298</v>
      </c>
      <c r="D132" s="141"/>
    </row>
    <row r="133" spans="1:4" ht="16.5" thickBot="1">
      <c r="A133" s="138" t="s">
        <v>20</v>
      </c>
      <c r="B133" s="4" t="s">
        <v>64</v>
      </c>
      <c r="C133" s="139">
        <f>D121</f>
        <v>1373.6352503163553</v>
      </c>
      <c r="D133" s="52"/>
    </row>
    <row r="134" spans="1:4" ht="16.5" thickBot="1">
      <c r="A134" s="138"/>
      <c r="B134" s="4"/>
      <c r="C134" s="139"/>
      <c r="D134" s="52"/>
    </row>
    <row r="135" spans="1:4" ht="16.5" thickBot="1">
      <c r="A135" s="216" t="s">
        <v>65</v>
      </c>
      <c r="B135" s="232"/>
      <c r="C135" s="140">
        <f>SUM(C132:C134)</f>
        <v>7666.4636021735851</v>
      </c>
      <c r="D135" s="52"/>
    </row>
  </sheetData>
  <mergeCells count="44">
    <mergeCell ref="A75:B75"/>
    <mergeCell ref="A77:D77"/>
    <mergeCell ref="A78:D78"/>
    <mergeCell ref="A79:D79"/>
    <mergeCell ref="A58:C58"/>
    <mergeCell ref="A64:B64"/>
    <mergeCell ref="A66:D66"/>
    <mergeCell ref="A67:D67"/>
    <mergeCell ref="A9:D9"/>
    <mergeCell ref="A124:C124"/>
    <mergeCell ref="A132:B132"/>
    <mergeCell ref="A135:B135"/>
    <mergeCell ref="A112:D112"/>
    <mergeCell ref="A121:B121"/>
    <mergeCell ref="A90:D90"/>
    <mergeCell ref="A94:B94"/>
    <mergeCell ref="A96:C96"/>
    <mergeCell ref="A101:B101"/>
    <mergeCell ref="A103:C103"/>
    <mergeCell ref="A110:B110"/>
    <mergeCell ref="A88:B88"/>
    <mergeCell ref="A42:B42"/>
    <mergeCell ref="A44:D44"/>
    <mergeCell ref="A56:B56"/>
    <mergeCell ref="B16:C16"/>
    <mergeCell ref="B11:C11"/>
    <mergeCell ref="B12:C12"/>
    <mergeCell ref="B13:C13"/>
    <mergeCell ref="B14:C14"/>
    <mergeCell ref="B15:C15"/>
    <mergeCell ref="A29:B29"/>
    <mergeCell ref="A31:D31"/>
    <mergeCell ref="B17:C17"/>
    <mergeCell ref="B18:C18"/>
    <mergeCell ref="A20:C20"/>
    <mergeCell ref="A19:C19"/>
    <mergeCell ref="A22:D22"/>
    <mergeCell ref="A24:D24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fitToWidth="3" fitToHeight="3" orientation="portrait" r:id="rId1"/>
  <rowBreaks count="2" manualBreakCount="2">
    <brk id="57" max="3" man="1"/>
    <brk id="111" max="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5"/>
  <sheetViews>
    <sheetView view="pageBreakPreview" topLeftCell="A44" zoomScaleSheetLayoutView="100" workbookViewId="0">
      <selection sqref="A1:XFD1048576"/>
    </sheetView>
  </sheetViews>
  <sheetFormatPr defaultColWidth="8.85546875" defaultRowHeight="15"/>
  <cols>
    <col min="1" max="1" width="8.28515625" style="55" customWidth="1"/>
    <col min="2" max="2" width="61.7109375" style="55" customWidth="1"/>
    <col min="3" max="3" width="17.7109375" style="55" customWidth="1"/>
    <col min="4" max="4" width="15.7109375" style="55" customWidth="1"/>
    <col min="5" max="5" width="39.28515625" style="55" customWidth="1"/>
    <col min="6" max="16384" width="8.85546875" style="55"/>
  </cols>
  <sheetData>
    <row r="1" spans="1:5" ht="15.75">
      <c r="A1" s="52"/>
      <c r="B1" s="52"/>
      <c r="C1" s="52"/>
      <c r="D1" s="52"/>
    </row>
    <row r="2" spans="1:5" ht="15" customHeight="1">
      <c r="A2" s="209" t="s">
        <v>76</v>
      </c>
      <c r="B2" s="210"/>
      <c r="C2" s="210"/>
      <c r="D2" s="211"/>
    </row>
    <row r="3" spans="1:5" ht="15" customHeight="1">
      <c r="A3" s="212" t="s">
        <v>145</v>
      </c>
      <c r="B3" s="213"/>
      <c r="C3" s="213"/>
      <c r="D3" s="214"/>
    </row>
    <row r="4" spans="1:5" ht="15" customHeight="1">
      <c r="A4" s="207" t="str">
        <f>'VACC Noite'!A4</f>
        <v>AM000057/2024</v>
      </c>
      <c r="B4" s="208"/>
      <c r="C4" s="3" t="s">
        <v>77</v>
      </c>
      <c r="D4" s="2">
        <f>'VACC Noite'!D4</f>
        <v>45323</v>
      </c>
    </row>
    <row r="5" spans="1:5" ht="15" customHeight="1">
      <c r="A5" s="207" t="s">
        <v>156</v>
      </c>
      <c r="B5" s="208"/>
      <c r="C5" s="3" t="s">
        <v>87</v>
      </c>
      <c r="D5" s="49">
        <v>5173</v>
      </c>
    </row>
    <row r="6" spans="1:5">
      <c r="A6" s="207" t="s">
        <v>79</v>
      </c>
      <c r="B6" s="208"/>
      <c r="C6" s="3" t="s">
        <v>80</v>
      </c>
      <c r="D6" s="50">
        <f>Principal!F9</f>
        <v>2</v>
      </c>
    </row>
    <row r="7" spans="1:5">
      <c r="A7" s="207" t="s">
        <v>81</v>
      </c>
      <c r="B7" s="208"/>
      <c r="C7" s="3" t="s">
        <v>82</v>
      </c>
      <c r="D7" s="51" t="s">
        <v>83</v>
      </c>
    </row>
    <row r="8" spans="1:5" ht="15.75">
      <c r="A8" s="52"/>
      <c r="B8" s="52"/>
      <c r="C8" s="52"/>
      <c r="D8" s="52"/>
    </row>
    <row r="9" spans="1:5" ht="15.75">
      <c r="A9" s="215" t="s">
        <v>9</v>
      </c>
      <c r="B9" s="215"/>
      <c r="C9" s="215"/>
      <c r="D9" s="215"/>
    </row>
    <row r="10" spans="1:5" ht="16.5" thickBot="1">
      <c r="A10" s="52"/>
      <c r="B10" s="52"/>
      <c r="C10" s="52"/>
      <c r="D10" s="52"/>
    </row>
    <row r="11" spans="1:5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5" ht="16.5" thickBot="1">
      <c r="A12" s="58" t="s">
        <v>12</v>
      </c>
      <c r="B12" s="218" t="s">
        <v>13</v>
      </c>
      <c r="C12" s="219"/>
      <c r="D12" s="53">
        <f>'VACC Noite'!D12</f>
        <v>1680</v>
      </c>
      <c r="E12" s="52"/>
    </row>
    <row r="13" spans="1:5" ht="16.5" thickBot="1">
      <c r="A13" s="58" t="s">
        <v>14</v>
      </c>
      <c r="B13" s="218" t="s">
        <v>144</v>
      </c>
      <c r="C13" s="219"/>
      <c r="D13" s="54">
        <f>$D$12*0.1</f>
        <v>168</v>
      </c>
      <c r="E13" s="52"/>
    </row>
    <row r="14" spans="1:5" ht="16.5" thickBot="1">
      <c r="A14" s="58" t="s">
        <v>16</v>
      </c>
      <c r="B14" s="218" t="s">
        <v>15</v>
      </c>
      <c r="C14" s="219"/>
      <c r="D14" s="54">
        <f>$D$12*0.3</f>
        <v>504</v>
      </c>
      <c r="E14" s="52"/>
    </row>
    <row r="15" spans="1:5" ht="16.5" thickBot="1">
      <c r="A15" s="58" t="s">
        <v>17</v>
      </c>
      <c r="B15" s="218" t="s">
        <v>0</v>
      </c>
      <c r="C15" s="219"/>
      <c r="D15" s="14">
        <v>0</v>
      </c>
      <c r="E15" s="52"/>
    </row>
    <row r="16" spans="1:5" ht="16.5" thickBot="1">
      <c r="A16" s="58" t="s">
        <v>18</v>
      </c>
      <c r="B16" s="218" t="s">
        <v>19</v>
      </c>
      <c r="C16" s="219"/>
      <c r="D16" s="14">
        <v>0</v>
      </c>
      <c r="E16" s="52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2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2352</v>
      </c>
      <c r="E19" s="151"/>
    </row>
    <row r="20" spans="1:5" ht="16.5" thickBot="1">
      <c r="A20" s="220" t="s">
        <v>149</v>
      </c>
      <c r="B20" s="221"/>
      <c r="C20" s="222"/>
      <c r="D20" s="18">
        <f>D19-D18</f>
        <v>2352</v>
      </c>
      <c r="E20" s="52"/>
    </row>
    <row r="21" spans="1:5" ht="15.75">
      <c r="A21" s="52"/>
      <c r="B21" s="52"/>
      <c r="C21" s="52"/>
      <c r="D21" s="59">
        <f>D20-D19</f>
        <v>0</v>
      </c>
    </row>
    <row r="22" spans="1:5" ht="15.75">
      <c r="A22" s="215" t="s">
        <v>22</v>
      </c>
      <c r="B22" s="215"/>
      <c r="C22" s="215"/>
      <c r="D22" s="215"/>
    </row>
    <row r="23" spans="1:5" ht="15.75">
      <c r="A23" s="62"/>
      <c r="B23" s="52"/>
      <c r="C23" s="52"/>
      <c r="D23" s="52"/>
    </row>
    <row r="24" spans="1:5" ht="15.75">
      <c r="A24" s="223" t="s">
        <v>23</v>
      </c>
      <c r="B24" s="223"/>
      <c r="C24" s="223"/>
      <c r="D24" s="223"/>
    </row>
    <row r="25" spans="1:5" ht="16.5" thickBot="1">
      <c r="A25" s="52"/>
      <c r="B25" s="63" t="s">
        <v>71</v>
      </c>
      <c r="C25" s="52"/>
      <c r="D25" s="52"/>
    </row>
    <row r="26" spans="1:5" ht="16.5" thickBot="1">
      <c r="A26" s="56" t="s">
        <v>24</v>
      </c>
      <c r="B26" s="57" t="s">
        <v>25</v>
      </c>
      <c r="C26" s="56" t="s">
        <v>72</v>
      </c>
      <c r="D26" s="57" t="s">
        <v>11</v>
      </c>
      <c r="E26" s="52"/>
    </row>
    <row r="27" spans="1:5" ht="16.5" thickBot="1">
      <c r="A27" s="58" t="s">
        <v>12</v>
      </c>
      <c r="B27" s="4" t="s">
        <v>245</v>
      </c>
      <c r="C27" s="64">
        <v>8.3333329999999997E-2</v>
      </c>
      <c r="D27" s="65">
        <f>D20*C27</f>
        <v>195.99999216000001</v>
      </c>
      <c r="E27" s="59"/>
    </row>
    <row r="28" spans="1:5" ht="16.5" thickBot="1">
      <c r="A28" s="58" t="s">
        <v>14</v>
      </c>
      <c r="B28" s="4" t="s">
        <v>148</v>
      </c>
      <c r="C28" s="66">
        <f>((1/12)+(1/3/12))</f>
        <v>0.1111111111111111</v>
      </c>
      <c r="D28" s="65">
        <f>D20*C28</f>
        <v>261.33333333333331</v>
      </c>
      <c r="E28" s="59"/>
    </row>
    <row r="29" spans="1:5" ht="16.5" thickBot="1">
      <c r="A29" s="220" t="s">
        <v>1</v>
      </c>
      <c r="B29" s="224"/>
      <c r="C29" s="67">
        <f>SUM(C27:C28)</f>
        <v>0.19444444111111109</v>
      </c>
      <c r="D29" s="68">
        <f>SUM(D27:D28)</f>
        <v>457.33332549333329</v>
      </c>
      <c r="E29" s="52"/>
    </row>
    <row r="30" spans="1:5" ht="15.75">
      <c r="A30" s="52"/>
      <c r="B30" s="52"/>
      <c r="C30" s="52"/>
      <c r="D30" s="52"/>
    </row>
    <row r="31" spans="1:5" ht="15.75">
      <c r="A31" s="225" t="s">
        <v>26</v>
      </c>
      <c r="B31" s="225"/>
      <c r="C31" s="225"/>
      <c r="D31" s="225"/>
    </row>
    <row r="32" spans="1:5" ht="16.5" thickBot="1">
      <c r="A32" s="52"/>
      <c r="B32" s="63" t="s">
        <v>70</v>
      </c>
      <c r="C32" s="52"/>
      <c r="D32" s="52"/>
    </row>
    <row r="33" spans="1:5" ht="16.5" thickBot="1">
      <c r="A33" s="56" t="s">
        <v>27</v>
      </c>
      <c r="B33" s="57" t="s">
        <v>28</v>
      </c>
      <c r="C33" s="57" t="s">
        <v>29</v>
      </c>
      <c r="D33" s="57" t="s">
        <v>11</v>
      </c>
    </row>
    <row r="34" spans="1:5" ht="16.5" thickBot="1">
      <c r="A34" s="58" t="s">
        <v>12</v>
      </c>
      <c r="B34" s="4" t="s">
        <v>30</v>
      </c>
      <c r="C34" s="69">
        <v>0.2</v>
      </c>
      <c r="D34" s="65">
        <f t="shared" ref="D34:D41" si="0">($D$20+$D$29)*C34</f>
        <v>561.86666509866666</v>
      </c>
    </row>
    <row r="35" spans="1:5" ht="14.25" customHeight="1" thickBot="1">
      <c r="A35" s="58" t="s">
        <v>14</v>
      </c>
      <c r="B35" s="4" t="s">
        <v>31</v>
      </c>
      <c r="C35" s="69">
        <v>2.5000000000000001E-2</v>
      </c>
      <c r="D35" s="65">
        <f t="shared" si="0"/>
        <v>70.233333137333332</v>
      </c>
      <c r="E35" s="143"/>
    </row>
    <row r="36" spans="1:5" ht="16.5" thickBot="1">
      <c r="A36" s="58" t="s">
        <v>16</v>
      </c>
      <c r="B36" s="4" t="s">
        <v>67</v>
      </c>
      <c r="C36" s="69">
        <v>0.03</v>
      </c>
      <c r="D36" s="65">
        <f t="shared" si="0"/>
        <v>84.279999764799996</v>
      </c>
    </row>
    <row r="37" spans="1:5" ht="16.5" thickBot="1">
      <c r="A37" s="58" t="s">
        <v>17</v>
      </c>
      <c r="B37" s="4" t="s">
        <v>32</v>
      </c>
      <c r="C37" s="69">
        <v>1.4999999999999999E-2</v>
      </c>
      <c r="D37" s="65">
        <f t="shared" si="0"/>
        <v>42.139999882399998</v>
      </c>
    </row>
    <row r="38" spans="1:5" ht="16.5" thickBot="1">
      <c r="A38" s="58" t="s">
        <v>18</v>
      </c>
      <c r="B38" s="4" t="s">
        <v>33</v>
      </c>
      <c r="C38" s="69">
        <v>0.01</v>
      </c>
      <c r="D38" s="65">
        <f t="shared" si="0"/>
        <v>28.093333254933331</v>
      </c>
    </row>
    <row r="39" spans="1:5" ht="16.5" thickBot="1">
      <c r="A39" s="58" t="s">
        <v>20</v>
      </c>
      <c r="B39" s="4" t="s">
        <v>2</v>
      </c>
      <c r="C39" s="69">
        <v>6.0000000000000001E-3</v>
      </c>
      <c r="D39" s="65">
        <f t="shared" si="0"/>
        <v>16.855999952959998</v>
      </c>
      <c r="E39" s="143"/>
    </row>
    <row r="40" spans="1:5" ht="16.5" thickBot="1">
      <c r="A40" s="58" t="s">
        <v>21</v>
      </c>
      <c r="B40" s="4" t="s">
        <v>3</v>
      </c>
      <c r="C40" s="69">
        <v>2E-3</v>
      </c>
      <c r="D40" s="65">
        <f t="shared" si="0"/>
        <v>5.6186666509866665</v>
      </c>
      <c r="E40" s="143"/>
    </row>
    <row r="41" spans="1:5" ht="15.75" customHeight="1" thickBot="1">
      <c r="A41" s="58" t="s">
        <v>34</v>
      </c>
      <c r="B41" s="4" t="s">
        <v>4</v>
      </c>
      <c r="C41" s="69">
        <v>0.08</v>
      </c>
      <c r="D41" s="65">
        <f t="shared" si="0"/>
        <v>224.74666603946665</v>
      </c>
      <c r="E41" s="144"/>
    </row>
    <row r="42" spans="1:5" ht="16.5" thickBot="1">
      <c r="A42" s="220" t="s">
        <v>35</v>
      </c>
      <c r="B42" s="224"/>
      <c r="C42" s="73">
        <f>SUM(C34:C41)</f>
        <v>0.36800000000000005</v>
      </c>
      <c r="D42" s="68">
        <f>SUM(D34:D41)</f>
        <v>1033.8346637815469</v>
      </c>
    </row>
    <row r="43" spans="1:5" ht="15.75">
      <c r="A43" s="52"/>
      <c r="B43" s="52"/>
      <c r="C43" s="52"/>
      <c r="D43" s="52"/>
    </row>
    <row r="44" spans="1:5" ht="15.75">
      <c r="A44" s="223" t="s">
        <v>36</v>
      </c>
      <c r="B44" s="223"/>
      <c r="C44" s="223"/>
      <c r="D44" s="223"/>
    </row>
    <row r="45" spans="1:5" ht="16.5" thickBot="1">
      <c r="A45" s="52"/>
      <c r="B45" s="63" t="s">
        <v>69</v>
      </c>
      <c r="C45" s="52"/>
      <c r="D45" s="52"/>
    </row>
    <row r="46" spans="1:5" ht="16.5" thickBot="1">
      <c r="A46" s="56" t="s">
        <v>37</v>
      </c>
      <c r="B46" s="57" t="s">
        <v>38</v>
      </c>
      <c r="C46" s="74" t="s">
        <v>232</v>
      </c>
      <c r="D46" s="57" t="s">
        <v>11</v>
      </c>
      <c r="E46" s="52"/>
    </row>
    <row r="47" spans="1:5" ht="16.5" thickBot="1">
      <c r="A47" s="58" t="s">
        <v>12</v>
      </c>
      <c r="B47" s="4" t="s">
        <v>231</v>
      </c>
      <c r="C47" s="75" t="s">
        <v>155</v>
      </c>
      <c r="D47" s="54">
        <f>'VACC Noite'!D47</f>
        <v>135</v>
      </c>
      <c r="E47" s="59"/>
    </row>
    <row r="48" spans="1:5" ht="18" customHeight="1" thickBot="1">
      <c r="A48" s="58"/>
      <c r="B48" s="4" t="s">
        <v>68</v>
      </c>
      <c r="C48" s="78">
        <f>CCT!D31</f>
        <v>0.06</v>
      </c>
      <c r="D48" s="54">
        <f>-($D$12*C48)</f>
        <v>-100.8</v>
      </c>
      <c r="E48" s="52"/>
    </row>
    <row r="49" spans="1:5" ht="16.5" thickBot="1">
      <c r="A49" s="58" t="s">
        <v>14</v>
      </c>
      <c r="B49" s="4" t="s">
        <v>233</v>
      </c>
      <c r="C49" s="75" t="str">
        <f>'VACC Noite'!C49</f>
        <v>R$31,20*15</v>
      </c>
      <c r="D49" s="54">
        <f>15*CCT!C30</f>
        <v>468</v>
      </c>
      <c r="E49" s="52"/>
    </row>
    <row r="50" spans="1:5" ht="16.5" thickBot="1">
      <c r="A50" s="58"/>
      <c r="B50" s="4" t="s">
        <v>151</v>
      </c>
      <c r="C50" s="78">
        <f>CCT!D30</f>
        <v>0.05</v>
      </c>
      <c r="D50" s="54">
        <f>-C50*D49</f>
        <v>-23.400000000000002</v>
      </c>
      <c r="E50" s="59"/>
    </row>
    <row r="51" spans="1:5" ht="16.5" thickBot="1">
      <c r="A51" s="79" t="s">
        <v>16</v>
      </c>
      <c r="B51" s="80" t="s">
        <v>125</v>
      </c>
      <c r="C51" s="4"/>
      <c r="D51" s="54">
        <v>0</v>
      </c>
      <c r="E51" s="52"/>
    </row>
    <row r="52" spans="1:5" ht="16.5" thickBot="1">
      <c r="A52" s="58" t="s">
        <v>17</v>
      </c>
      <c r="B52" s="4" t="s">
        <v>236</v>
      </c>
      <c r="C52" s="145"/>
      <c r="D52" s="82">
        <f>CCT!C32</f>
        <v>136.88999999999999</v>
      </c>
      <c r="E52" s="83"/>
    </row>
    <row r="53" spans="1:5" ht="16.5" thickBot="1">
      <c r="A53" s="58"/>
      <c r="B53" s="4" t="s">
        <v>152</v>
      </c>
      <c r="C53" s="84">
        <f>CCT!D32</f>
        <v>0.05</v>
      </c>
      <c r="D53" s="54">
        <f>-CCT!C32*CCT!D32</f>
        <v>-6.8445</v>
      </c>
      <c r="E53" s="52"/>
    </row>
    <row r="54" spans="1:5" ht="16.5" thickBot="1">
      <c r="A54" s="58" t="s">
        <v>18</v>
      </c>
      <c r="B54" s="4" t="s">
        <v>197</v>
      </c>
      <c r="C54" s="4"/>
      <c r="D54" s="81">
        <f>CCT!C33</f>
        <v>12</v>
      </c>
      <c r="E54" s="52"/>
    </row>
    <row r="55" spans="1:5" ht="16.5" thickBot="1">
      <c r="A55" s="58" t="s">
        <v>20</v>
      </c>
      <c r="B55" s="4" t="s">
        <v>239</v>
      </c>
      <c r="C55" s="86">
        <f>CCT!D33</f>
        <v>0.5</v>
      </c>
      <c r="D55" s="54">
        <f>-C55*D54</f>
        <v>-6</v>
      </c>
      <c r="E55" s="52"/>
    </row>
    <row r="56" spans="1:5" ht="16.5" thickBot="1">
      <c r="A56" s="220" t="s">
        <v>1</v>
      </c>
      <c r="B56" s="224"/>
      <c r="C56" s="87"/>
      <c r="D56" s="18">
        <f>SUM(D47:D55)</f>
        <v>614.84550000000002</v>
      </c>
      <c r="E56" s="52"/>
    </row>
    <row r="57" spans="1:5" ht="15.75">
      <c r="A57" s="52"/>
      <c r="B57" s="52"/>
      <c r="C57" s="52"/>
      <c r="D57" s="52"/>
    </row>
    <row r="58" spans="1:5" ht="15.75">
      <c r="A58" s="223" t="s">
        <v>39</v>
      </c>
      <c r="B58" s="223"/>
      <c r="C58" s="223"/>
      <c r="D58" s="52"/>
    </row>
    <row r="59" spans="1:5" ht="16.5" thickBot="1">
      <c r="A59" s="52"/>
      <c r="B59" s="88" t="s">
        <v>246</v>
      </c>
      <c r="C59" s="52"/>
      <c r="D59" s="52"/>
    </row>
    <row r="60" spans="1:5" ht="16.5" thickBot="1">
      <c r="A60" s="56">
        <v>2</v>
      </c>
      <c r="B60" s="57" t="s">
        <v>40</v>
      </c>
      <c r="C60" s="57" t="s">
        <v>11</v>
      </c>
      <c r="D60" s="52"/>
    </row>
    <row r="61" spans="1:5" ht="16.5" thickBot="1">
      <c r="A61" s="58" t="s">
        <v>24</v>
      </c>
      <c r="B61" s="4" t="s">
        <v>25</v>
      </c>
      <c r="C61" s="65">
        <f>D29</f>
        <v>457.33332549333329</v>
      </c>
      <c r="D61" s="52"/>
    </row>
    <row r="62" spans="1:5" ht="16.5" thickBot="1">
      <c r="A62" s="58" t="s">
        <v>27</v>
      </c>
      <c r="B62" s="4" t="s">
        <v>28</v>
      </c>
      <c r="C62" s="65">
        <f>D42</f>
        <v>1033.8346637815469</v>
      </c>
      <c r="D62" s="52"/>
    </row>
    <row r="63" spans="1:5" ht="16.5" thickBot="1">
      <c r="A63" s="58" t="s">
        <v>37</v>
      </c>
      <c r="B63" s="4" t="s">
        <v>38</v>
      </c>
      <c r="C63" s="65">
        <f>D56</f>
        <v>614.84550000000002</v>
      </c>
      <c r="D63" s="52"/>
    </row>
    <row r="64" spans="1:5" ht="16.5" thickBot="1">
      <c r="A64" s="226" t="s">
        <v>1</v>
      </c>
      <c r="B64" s="227"/>
      <c r="C64" s="89">
        <f>SUM(C61:C63)</f>
        <v>2106.0134892748802</v>
      </c>
      <c r="D64" s="52"/>
    </row>
    <row r="65" spans="1:5" ht="15.75">
      <c r="A65" s="90"/>
      <c r="B65" s="52"/>
      <c r="C65" s="52"/>
      <c r="D65" s="52"/>
    </row>
    <row r="66" spans="1:5" ht="15.75">
      <c r="A66" s="215" t="s">
        <v>41</v>
      </c>
      <c r="B66" s="215"/>
      <c r="C66" s="215"/>
      <c r="D66" s="215"/>
    </row>
    <row r="67" spans="1:5" ht="16.5" thickBot="1">
      <c r="A67" s="228" t="s">
        <v>142</v>
      </c>
      <c r="B67" s="228"/>
      <c r="C67" s="228"/>
      <c r="D67" s="228"/>
    </row>
    <row r="68" spans="1:5" ht="16.5" thickBot="1">
      <c r="A68" s="56">
        <v>3</v>
      </c>
      <c r="B68" s="57" t="s">
        <v>42</v>
      </c>
      <c r="C68" s="155" t="s">
        <v>72</v>
      </c>
      <c r="D68" s="56" t="s">
        <v>11</v>
      </c>
      <c r="E68" s="146"/>
    </row>
    <row r="69" spans="1:5" ht="16.5" thickBot="1">
      <c r="A69" s="58" t="s">
        <v>12</v>
      </c>
      <c r="B69" s="93" t="s">
        <v>43</v>
      </c>
      <c r="C69" s="94">
        <f>(100%*(1/12)*5%)*100%</f>
        <v>4.1666666666666666E-3</v>
      </c>
      <c r="D69" s="95">
        <f>C69*$D$20</f>
        <v>9.8000000000000007</v>
      </c>
      <c r="E69" s="96"/>
    </row>
    <row r="70" spans="1:5" ht="16.5" thickBot="1">
      <c r="A70" s="58" t="s">
        <v>14</v>
      </c>
      <c r="B70" s="93" t="s">
        <v>44</v>
      </c>
      <c r="C70" s="97">
        <f>C69*C41</f>
        <v>3.3333333333333332E-4</v>
      </c>
      <c r="D70" s="95">
        <f t="shared" ref="D70:D74" si="1">C70*$D$20</f>
        <v>0.78399999999999992</v>
      </c>
      <c r="E70" s="96"/>
    </row>
    <row r="71" spans="1:5" ht="32.25" thickBot="1">
      <c r="A71" s="58" t="s">
        <v>16</v>
      </c>
      <c r="B71" s="93" t="s">
        <v>45</v>
      </c>
      <c r="C71" s="98">
        <f>C70*40%</f>
        <v>1.3333333333333334E-4</v>
      </c>
      <c r="D71" s="95">
        <f t="shared" si="1"/>
        <v>0.31359999999999999</v>
      </c>
      <c r="E71" s="52"/>
    </row>
    <row r="72" spans="1:5" ht="16.5" thickBot="1">
      <c r="A72" s="58" t="s">
        <v>17</v>
      </c>
      <c r="B72" s="93" t="s">
        <v>46</v>
      </c>
      <c r="C72" s="99">
        <f>((7/30)/12)</f>
        <v>1.9444444444444445E-2</v>
      </c>
      <c r="D72" s="95">
        <f t="shared" si="1"/>
        <v>45.733333333333334</v>
      </c>
      <c r="E72" s="52"/>
    </row>
    <row r="73" spans="1:5" ht="32.25" thickBot="1">
      <c r="A73" s="58" t="s">
        <v>18</v>
      </c>
      <c r="B73" s="93" t="s">
        <v>78</v>
      </c>
      <c r="C73" s="98">
        <f>C42*C72</f>
        <v>7.1555555555555565E-3</v>
      </c>
      <c r="D73" s="95">
        <f t="shared" si="1"/>
        <v>16.829866666666668</v>
      </c>
      <c r="E73" s="52"/>
    </row>
    <row r="74" spans="1:5" ht="32.25" thickBot="1">
      <c r="A74" s="58" t="s">
        <v>20</v>
      </c>
      <c r="B74" s="93" t="s">
        <v>47</v>
      </c>
      <c r="C74" s="98">
        <f>((100%+8.33%+11.11%)*8%*40%+0.18%)</f>
        <v>4.0020800000000002E-2</v>
      </c>
      <c r="D74" s="95">
        <f t="shared" si="1"/>
        <v>94.128921599999998</v>
      </c>
      <c r="E74" s="52"/>
    </row>
    <row r="75" spans="1:5" ht="16.5" thickBot="1">
      <c r="A75" s="229" t="s">
        <v>1</v>
      </c>
      <c r="B75" s="230"/>
      <c r="C75" s="100">
        <f>SUM(C69:C74)</f>
        <v>7.125413333333333E-2</v>
      </c>
      <c r="D75" s="101">
        <f>SUM(D69:D74)</f>
        <v>167.58972160000002</v>
      </c>
      <c r="E75" s="52"/>
    </row>
    <row r="76" spans="1:5" ht="15.75">
      <c r="A76" s="52"/>
      <c r="B76" s="52"/>
      <c r="C76" s="103"/>
      <c r="D76" s="52"/>
    </row>
    <row r="77" spans="1:5" ht="15.75">
      <c r="A77" s="215" t="s">
        <v>48</v>
      </c>
      <c r="B77" s="215"/>
      <c r="C77" s="215"/>
      <c r="D77" s="215"/>
    </row>
    <row r="78" spans="1:5">
      <c r="A78" s="233"/>
      <c r="B78" s="233"/>
      <c r="C78" s="233"/>
      <c r="D78" s="233"/>
    </row>
    <row r="79" spans="1:5" ht="15.75">
      <c r="A79" s="223" t="s">
        <v>49</v>
      </c>
      <c r="B79" s="223"/>
      <c r="C79" s="223"/>
      <c r="D79" s="223"/>
      <c r="E79" s="106" t="s">
        <v>176</v>
      </c>
    </row>
    <row r="80" spans="1:5" ht="16.5" thickBot="1">
      <c r="D80" s="59"/>
    </row>
    <row r="81" spans="1:5" ht="16.5" thickBot="1">
      <c r="A81" s="56" t="s">
        <v>50</v>
      </c>
      <c r="B81" s="57" t="s">
        <v>51</v>
      </c>
      <c r="C81" s="56" t="s">
        <v>72</v>
      </c>
      <c r="D81" s="57" t="s">
        <v>11</v>
      </c>
      <c r="E81" s="52"/>
    </row>
    <row r="82" spans="1:5" ht="16.5" thickBot="1">
      <c r="A82" s="58" t="s">
        <v>12</v>
      </c>
      <c r="B82" s="4" t="s">
        <v>150</v>
      </c>
      <c r="C82" s="107">
        <f>((((1/12/12))+(((1/12/12)/3))*100%))</f>
        <v>9.2592592592592587E-3</v>
      </c>
      <c r="D82" s="65">
        <f>($D$20+$D$29+$D$42)*C82*0</f>
        <v>0</v>
      </c>
      <c r="E82" s="59"/>
    </row>
    <row r="83" spans="1:5" ht="16.5" thickBot="1">
      <c r="A83" s="58" t="s">
        <v>14</v>
      </c>
      <c r="B83" s="4" t="s">
        <v>137</v>
      </c>
      <c r="C83" s="107">
        <f>((2/30)/12)*100%</f>
        <v>5.5555555555555558E-3</v>
      </c>
      <c r="D83" s="65">
        <f t="shared" ref="D83:D87" si="2">($D$20+$D$29+$D$42)*C83</f>
        <v>21.350933273749334</v>
      </c>
      <c r="E83" s="52"/>
    </row>
    <row r="84" spans="1:5" ht="16.5" thickBot="1">
      <c r="A84" s="58" t="s">
        <v>16</v>
      </c>
      <c r="B84" s="4" t="s">
        <v>138</v>
      </c>
      <c r="C84" s="110">
        <f>(((5/30)/12)*0.015)*100%</f>
        <v>2.0833333333333332E-4</v>
      </c>
      <c r="D84" s="65">
        <f t="shared" si="2"/>
        <v>0.80065999776559993</v>
      </c>
      <c r="E84" s="109"/>
    </row>
    <row r="85" spans="1:5" ht="16.5" thickBot="1">
      <c r="A85" s="58" t="s">
        <v>18</v>
      </c>
      <c r="B85" s="4" t="s">
        <v>139</v>
      </c>
      <c r="C85" s="110">
        <f>(((15/30)/12)*0.08)*100%</f>
        <v>3.3333333333333331E-3</v>
      </c>
      <c r="D85" s="65">
        <f t="shared" si="2"/>
        <v>12.810559964249599</v>
      </c>
      <c r="E85" s="52"/>
    </row>
    <row r="86" spans="1:5" ht="16.5" thickBot="1">
      <c r="A86" s="58" t="s">
        <v>17</v>
      </c>
      <c r="B86" s="111" t="s">
        <v>140</v>
      </c>
      <c r="C86" s="112">
        <f>((4/12)/12*0.02*100%)</f>
        <v>5.5555555555555556E-4</v>
      </c>
      <c r="D86" s="65">
        <f t="shared" si="2"/>
        <v>2.1350933273749333</v>
      </c>
      <c r="E86" s="52"/>
    </row>
    <row r="87" spans="1:5" ht="16.5" thickBot="1">
      <c r="A87" s="149" t="s">
        <v>20</v>
      </c>
      <c r="B87" s="4" t="s">
        <v>141</v>
      </c>
      <c r="C87" s="110">
        <v>0</v>
      </c>
      <c r="D87" s="65">
        <f t="shared" si="2"/>
        <v>0</v>
      </c>
      <c r="E87" s="59"/>
    </row>
    <row r="88" spans="1:5" ht="16.5" thickBot="1">
      <c r="A88" s="216" t="s">
        <v>35</v>
      </c>
      <c r="B88" s="232"/>
      <c r="C88" s="113">
        <f>SUM(C82:C87)</f>
        <v>1.8912037037037036E-2</v>
      </c>
      <c r="D88" s="114">
        <f>SUM(D82:D87)+0.02</f>
        <v>37.117246563139467</v>
      </c>
      <c r="E88" s="52"/>
    </row>
    <row r="89" spans="1:5" ht="15.75">
      <c r="A89" s="52"/>
      <c r="B89" s="52"/>
      <c r="C89" s="52"/>
      <c r="D89" s="52"/>
    </row>
    <row r="90" spans="1:5" ht="15.75">
      <c r="A90" s="223" t="s">
        <v>52</v>
      </c>
      <c r="B90" s="223"/>
      <c r="C90" s="223"/>
      <c r="D90" s="223"/>
    </row>
    <row r="91" spans="1:5" ht="16.5" thickBot="1">
      <c r="A91" s="62"/>
      <c r="B91" s="52"/>
      <c r="C91" s="52"/>
      <c r="D91" s="52"/>
    </row>
    <row r="92" spans="1:5" ht="16.5" thickBot="1">
      <c r="A92" s="56" t="s">
        <v>53</v>
      </c>
      <c r="B92" s="57" t="s">
        <v>54</v>
      </c>
      <c r="C92" s="56" t="s">
        <v>72</v>
      </c>
      <c r="D92" s="57" t="s">
        <v>11</v>
      </c>
      <c r="E92" s="52"/>
    </row>
    <row r="93" spans="1:5" ht="16.5" thickBot="1">
      <c r="A93" s="58" t="s">
        <v>12</v>
      </c>
      <c r="B93" s="4" t="s">
        <v>66</v>
      </c>
      <c r="C93" s="115" t="s">
        <v>179</v>
      </c>
      <c r="D93" s="116">
        <f>(($D$20/180)*1.5)*15</f>
        <v>294</v>
      </c>
      <c r="E93" s="52"/>
    </row>
    <row r="94" spans="1:5" ht="16.5" thickBot="1">
      <c r="A94" s="216" t="s">
        <v>1</v>
      </c>
      <c r="B94" s="232"/>
      <c r="C94" s="117"/>
      <c r="D94" s="118">
        <f>SUM(D93)</f>
        <v>294</v>
      </c>
      <c r="E94" s="52"/>
    </row>
    <row r="95" spans="1:5" ht="15.75">
      <c r="A95" s="52"/>
      <c r="B95" s="52"/>
      <c r="C95" s="52"/>
      <c r="D95" s="52"/>
      <c r="E95" s="52"/>
    </row>
    <row r="96" spans="1:5" ht="15.75">
      <c r="A96" s="223" t="s">
        <v>55</v>
      </c>
      <c r="B96" s="223"/>
      <c r="C96" s="223"/>
    </row>
    <row r="97" spans="1:5" ht="16.5" thickBot="1">
      <c r="A97" s="62"/>
      <c r="B97" s="52"/>
      <c r="C97" s="52"/>
    </row>
    <row r="98" spans="1:5" ht="16.5" thickBot="1">
      <c r="A98" s="56">
        <v>4</v>
      </c>
      <c r="B98" s="57" t="s">
        <v>56</v>
      </c>
      <c r="C98" s="57" t="s">
        <v>11</v>
      </c>
      <c r="D98" s="52"/>
    </row>
    <row r="99" spans="1:5" ht="16.5" thickBot="1">
      <c r="A99" s="58" t="s">
        <v>50</v>
      </c>
      <c r="B99" s="4" t="s">
        <v>51</v>
      </c>
      <c r="C99" s="54">
        <f>D88</f>
        <v>37.117246563139467</v>
      </c>
      <c r="D99" s="52"/>
    </row>
    <row r="100" spans="1:5" ht="16.5" thickBot="1">
      <c r="A100" s="58" t="s">
        <v>53</v>
      </c>
      <c r="B100" s="4" t="s">
        <v>54</v>
      </c>
      <c r="C100" s="54">
        <f>D94</f>
        <v>294</v>
      </c>
      <c r="D100" s="52"/>
    </row>
    <row r="101" spans="1:5" ht="15.75" customHeight="1" thickBot="1">
      <c r="A101" s="216" t="s">
        <v>1</v>
      </c>
      <c r="B101" s="232"/>
      <c r="C101" s="118">
        <f>SUM(C99:C100)</f>
        <v>331.11724656313947</v>
      </c>
      <c r="D101" s="52"/>
    </row>
    <row r="102" spans="1:5" ht="15.75">
      <c r="A102" s="52"/>
      <c r="B102" s="52"/>
      <c r="C102" s="52"/>
      <c r="D102" s="52"/>
    </row>
    <row r="103" spans="1:5" ht="15.75">
      <c r="A103" s="231" t="s">
        <v>57</v>
      </c>
      <c r="B103" s="231"/>
      <c r="C103" s="231"/>
    </row>
    <row r="104" spans="1:5" ht="16.5" thickBot="1">
      <c r="A104" s="52"/>
      <c r="B104" s="52"/>
      <c r="C104" s="52"/>
    </row>
    <row r="105" spans="1:5" ht="16.5" thickBot="1">
      <c r="A105" s="56">
        <v>5</v>
      </c>
      <c r="B105" s="119" t="s">
        <v>5</v>
      </c>
      <c r="C105" s="57" t="s">
        <v>11</v>
      </c>
      <c r="D105" s="52"/>
    </row>
    <row r="106" spans="1:5" ht="16.5" thickBot="1">
      <c r="A106" s="58" t="s">
        <v>12</v>
      </c>
      <c r="B106" s="4" t="s">
        <v>58</v>
      </c>
      <c r="C106" s="54">
        <f>'VA Dia'!C108</f>
        <v>74.84</v>
      </c>
      <c r="D106" s="52"/>
    </row>
    <row r="107" spans="1:5" ht="16.5" thickBot="1">
      <c r="A107" s="58" t="s">
        <v>14</v>
      </c>
      <c r="B107" s="4" t="s">
        <v>126</v>
      </c>
      <c r="C107" s="54">
        <f>'VA Dia'!C109</f>
        <v>152.53421778771545</v>
      </c>
      <c r="D107" s="52"/>
    </row>
    <row r="108" spans="1:5" ht="16.5" thickBot="1">
      <c r="A108" s="58" t="s">
        <v>16</v>
      </c>
      <c r="B108" s="4" t="s">
        <v>127</v>
      </c>
      <c r="C108" s="14"/>
      <c r="E108" s="52"/>
    </row>
    <row r="109" spans="1:5" ht="16.5" thickBot="1">
      <c r="A109" s="58" t="s">
        <v>17</v>
      </c>
      <c r="B109" s="4" t="s">
        <v>84</v>
      </c>
      <c r="C109" s="54"/>
      <c r="D109" s="52"/>
    </row>
    <row r="110" spans="1:5" ht="16.5" thickBot="1">
      <c r="A110" s="216" t="s">
        <v>35</v>
      </c>
      <c r="B110" s="232"/>
      <c r="C110" s="118">
        <f>SUM(C106:C109)</f>
        <v>227.37421778771545</v>
      </c>
      <c r="D110" s="52"/>
    </row>
    <row r="111" spans="1:5" ht="19.149999999999999" customHeight="1">
      <c r="A111" s="52"/>
      <c r="B111" s="52"/>
      <c r="C111" s="52"/>
      <c r="D111" s="52"/>
    </row>
    <row r="112" spans="1:5" ht="15.75">
      <c r="A112" s="231" t="s">
        <v>59</v>
      </c>
      <c r="B112" s="231"/>
      <c r="C112" s="231"/>
      <c r="D112" s="231"/>
    </row>
    <row r="113" spans="1:6" ht="16.5" thickBot="1">
      <c r="A113" s="52"/>
      <c r="B113" s="52"/>
      <c r="C113" s="52"/>
      <c r="D113" s="52"/>
    </row>
    <row r="114" spans="1:6" ht="16.5" thickBot="1">
      <c r="A114" s="56">
        <v>6</v>
      </c>
      <c r="B114" s="119" t="s">
        <v>6</v>
      </c>
      <c r="C114" s="57" t="s">
        <v>29</v>
      </c>
      <c r="D114" s="121" t="s">
        <v>11</v>
      </c>
      <c r="E114" s="122"/>
    </row>
    <row r="115" spans="1:6" ht="16.5" thickBot="1">
      <c r="A115" s="58" t="s">
        <v>12</v>
      </c>
      <c r="B115" s="4" t="s">
        <v>7</v>
      </c>
      <c r="C115" s="110">
        <f>'VA Dia'!C117</f>
        <v>0.05</v>
      </c>
      <c r="D115" s="123">
        <f>$C$132*C115+0.01</f>
        <v>259.21473376128682</v>
      </c>
      <c r="E115" s="124"/>
    </row>
    <row r="116" spans="1:6" ht="16.5" thickBot="1">
      <c r="A116" s="58" t="s">
        <v>14</v>
      </c>
      <c r="B116" s="4" t="s">
        <v>8</v>
      </c>
      <c r="C116" s="110">
        <f>'VA Dia'!C118</f>
        <v>6.7900000000000002E-2</v>
      </c>
      <c r="D116" s="123">
        <f>($C$132+$D$115)*C116</f>
        <v>369.60070887021885</v>
      </c>
      <c r="E116" s="124"/>
    </row>
    <row r="117" spans="1:6" ht="16.5" thickBot="1">
      <c r="A117" s="58" t="s">
        <v>16</v>
      </c>
      <c r="B117" s="4" t="s">
        <v>75</v>
      </c>
      <c r="C117" s="125">
        <f>C118+C119+C120</f>
        <v>8.6499999999999994E-2</v>
      </c>
      <c r="D117" s="123"/>
      <c r="E117" s="124"/>
    </row>
    <row r="118" spans="1:6" ht="16.5" thickBot="1">
      <c r="A118" s="58"/>
      <c r="B118" s="4" t="s">
        <v>73</v>
      </c>
      <c r="C118" s="156">
        <v>6.4999999999999997E-3</v>
      </c>
      <c r="D118" s="126">
        <f>(($C$132+$D$115+$D$116)/1-$C$117)*C118</f>
        <v>37.783353516072069</v>
      </c>
    </row>
    <row r="119" spans="1:6" ht="16.5" thickBot="1">
      <c r="A119" s="58"/>
      <c r="B119" s="4" t="s">
        <v>74</v>
      </c>
      <c r="C119" s="157">
        <v>0.03</v>
      </c>
      <c r="D119" s="128">
        <f>(($C$132+$D$115+$D$116)/1-$C$117)*C119</f>
        <v>174.38470853571724</v>
      </c>
    </row>
    <row r="120" spans="1:6" ht="16.5" thickBot="1">
      <c r="A120" s="58"/>
      <c r="B120" s="4" t="s">
        <v>60</v>
      </c>
      <c r="C120" s="110">
        <v>0.05</v>
      </c>
      <c r="D120" s="128">
        <f>(($C$132+$D$115+$D$116)/1-$C$117)*C120</f>
        <v>290.64118089286211</v>
      </c>
    </row>
    <row r="121" spans="1:6" ht="16.5" thickBot="1">
      <c r="A121" s="216" t="s">
        <v>35</v>
      </c>
      <c r="B121" s="232"/>
      <c r="C121" s="73">
        <f>SUM(C115:C120)-C117</f>
        <v>0.2044</v>
      </c>
      <c r="D121" s="118">
        <f>SUM(D115:D120)</f>
        <v>1131.6246855761572</v>
      </c>
    </row>
    <row r="122" spans="1:6" ht="15.75">
      <c r="A122" s="130"/>
      <c r="B122" s="130"/>
      <c r="C122" s="158"/>
      <c r="D122" s="132"/>
    </row>
    <row r="123" spans="1:6" ht="15.75">
      <c r="A123" s="133"/>
      <c r="B123" s="134"/>
      <c r="C123" s="135"/>
      <c r="D123" s="136"/>
      <c r="F123" s="61" t="e">
        <f>#REF!*D6</f>
        <v>#REF!</v>
      </c>
    </row>
    <row r="124" spans="1:6" ht="15.75">
      <c r="A124" s="231" t="s">
        <v>61</v>
      </c>
      <c r="B124" s="231"/>
      <c r="C124" s="231"/>
      <c r="D124" s="52"/>
    </row>
    <row r="125" spans="1:6" ht="16.5" thickBot="1">
      <c r="A125" s="52"/>
      <c r="B125" s="52"/>
      <c r="C125" s="52"/>
      <c r="D125" s="52"/>
    </row>
    <row r="126" spans="1:6" ht="32.25" thickBot="1">
      <c r="A126" s="56"/>
      <c r="B126" s="57" t="s">
        <v>62</v>
      </c>
      <c r="C126" s="57" t="s">
        <v>11</v>
      </c>
      <c r="D126" s="52"/>
      <c r="E126" s="137"/>
    </row>
    <row r="127" spans="1:6" ht="16.5" thickBot="1">
      <c r="A127" s="138" t="s">
        <v>12</v>
      </c>
      <c r="B127" s="4" t="s">
        <v>9</v>
      </c>
      <c r="C127" s="139">
        <f>D19</f>
        <v>2352</v>
      </c>
      <c r="D127" s="52"/>
      <c r="E127" s="61"/>
    </row>
    <row r="128" spans="1:6" ht="16.5" thickBot="1">
      <c r="A128" s="138" t="s">
        <v>14</v>
      </c>
      <c r="B128" s="4" t="s">
        <v>22</v>
      </c>
      <c r="C128" s="139">
        <f>C64</f>
        <v>2106.0134892748802</v>
      </c>
      <c r="D128" s="52"/>
    </row>
    <row r="129" spans="1:4" ht="16.5" thickBot="1">
      <c r="A129" s="138" t="s">
        <v>16</v>
      </c>
      <c r="B129" s="4" t="s">
        <v>41</v>
      </c>
      <c r="C129" s="139">
        <f>D75</f>
        <v>167.58972160000002</v>
      </c>
      <c r="D129" s="52"/>
    </row>
    <row r="130" spans="1:4" ht="16.5" thickBot="1">
      <c r="A130" s="138" t="s">
        <v>17</v>
      </c>
      <c r="B130" s="4" t="s">
        <v>48</v>
      </c>
      <c r="C130" s="139">
        <f>C101</f>
        <v>331.11724656313947</v>
      </c>
      <c r="D130" s="52"/>
    </row>
    <row r="131" spans="1:4" ht="16.5" thickBot="1">
      <c r="A131" s="138" t="s">
        <v>18</v>
      </c>
      <c r="B131" s="4" t="s">
        <v>57</v>
      </c>
      <c r="C131" s="139">
        <f>C110</f>
        <v>227.37421778771545</v>
      </c>
      <c r="D131" s="52"/>
    </row>
    <row r="132" spans="1:4" ht="16.5" thickBot="1">
      <c r="A132" s="216" t="s">
        <v>63</v>
      </c>
      <c r="B132" s="232"/>
      <c r="C132" s="140">
        <f>SUM(C127:C131)</f>
        <v>5184.094675225736</v>
      </c>
      <c r="D132" s="141"/>
    </row>
    <row r="133" spans="1:4" ht="16.5" thickBot="1">
      <c r="A133" s="138" t="s">
        <v>20</v>
      </c>
      <c r="B133" s="4" t="s">
        <v>64</v>
      </c>
      <c r="C133" s="139">
        <f>D121</f>
        <v>1131.6246855761572</v>
      </c>
      <c r="D133" s="52"/>
    </row>
    <row r="134" spans="1:4" ht="16.5" thickBot="1">
      <c r="A134" s="138"/>
      <c r="B134" s="4"/>
      <c r="C134" s="139"/>
      <c r="D134" s="52"/>
    </row>
    <row r="135" spans="1:4" ht="16.5" thickBot="1">
      <c r="A135" s="216" t="s">
        <v>65</v>
      </c>
      <c r="B135" s="232"/>
      <c r="C135" s="140">
        <f>SUM(C132:C134)</f>
        <v>6315.7193608018933</v>
      </c>
      <c r="D135" s="52"/>
    </row>
  </sheetData>
  <mergeCells count="44">
    <mergeCell ref="A135:B135"/>
    <mergeCell ref="A124:C124"/>
    <mergeCell ref="A132:B132"/>
    <mergeCell ref="A121:B121"/>
    <mergeCell ref="A77:D77"/>
    <mergeCell ref="A78:D78"/>
    <mergeCell ref="A79:D79"/>
    <mergeCell ref="A88:B88"/>
    <mergeCell ref="A90:D90"/>
    <mergeCell ref="A94:B94"/>
    <mergeCell ref="A96:C96"/>
    <mergeCell ref="A101:B101"/>
    <mergeCell ref="A103:C103"/>
    <mergeCell ref="A110:B110"/>
    <mergeCell ref="A112:D112"/>
    <mergeCell ref="A22:D22"/>
    <mergeCell ref="A24:D24"/>
    <mergeCell ref="A20:C20"/>
    <mergeCell ref="B11:C11"/>
    <mergeCell ref="B12:C12"/>
    <mergeCell ref="B18:C18"/>
    <mergeCell ref="A19:C19"/>
    <mergeCell ref="B13:C13"/>
    <mergeCell ref="B14:C14"/>
    <mergeCell ref="B15:C15"/>
    <mergeCell ref="B16:C16"/>
    <mergeCell ref="B17:C17"/>
    <mergeCell ref="A75:B75"/>
    <mergeCell ref="A29:B29"/>
    <mergeCell ref="A31:D31"/>
    <mergeCell ref="A66:D66"/>
    <mergeCell ref="A67:D67"/>
    <mergeCell ref="A42:B42"/>
    <mergeCell ref="A44:D44"/>
    <mergeCell ref="A56:B56"/>
    <mergeCell ref="A58:C58"/>
    <mergeCell ref="A64:B64"/>
    <mergeCell ref="A9:D9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1" manualBreakCount="1">
    <brk id="57" max="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141"/>
  <sheetViews>
    <sheetView view="pageBreakPreview" zoomScaleSheetLayoutView="100" workbookViewId="0">
      <selection activeCell="B8" sqref="B8"/>
    </sheetView>
  </sheetViews>
  <sheetFormatPr defaultColWidth="8.85546875" defaultRowHeight="15"/>
  <cols>
    <col min="1" max="1" width="8.85546875" style="55"/>
    <col min="2" max="2" width="61.7109375" style="55" customWidth="1"/>
    <col min="3" max="3" width="17.7109375" style="55" customWidth="1"/>
    <col min="4" max="4" width="15.7109375" style="55" customWidth="1"/>
    <col min="5" max="5" width="39.28515625" style="55" customWidth="1"/>
    <col min="6" max="6" width="8.85546875" style="55"/>
    <col min="7" max="7" width="10.5703125" style="55" bestFit="1" customWidth="1"/>
    <col min="8" max="16384" width="8.85546875" style="55"/>
  </cols>
  <sheetData>
    <row r="1" spans="1:6" ht="15.75">
      <c r="A1" s="52"/>
      <c r="B1" s="52"/>
      <c r="C1" s="52"/>
      <c r="D1" s="52"/>
    </row>
    <row r="2" spans="1:6" ht="15" customHeight="1">
      <c r="A2" s="209" t="s">
        <v>76</v>
      </c>
      <c r="B2" s="210"/>
      <c r="C2" s="210"/>
      <c r="D2" s="211"/>
    </row>
    <row r="3" spans="1:6" ht="15" customHeight="1">
      <c r="A3" s="212" t="s">
        <v>145</v>
      </c>
      <c r="B3" s="213"/>
      <c r="C3" s="213"/>
      <c r="D3" s="214"/>
    </row>
    <row r="4" spans="1:6" ht="15" customHeight="1">
      <c r="A4" s="207" t="str">
        <f>'VACM Dia'!A4</f>
        <v>AM000057/2024</v>
      </c>
      <c r="B4" s="208"/>
      <c r="C4" s="3" t="s">
        <v>77</v>
      </c>
      <c r="D4" s="2">
        <f>'VACM Dia'!D4</f>
        <v>45323</v>
      </c>
    </row>
    <row r="5" spans="1:6" ht="15" customHeight="1">
      <c r="A5" s="207" t="s">
        <v>157</v>
      </c>
      <c r="B5" s="208"/>
      <c r="C5" s="3" t="s">
        <v>87</v>
      </c>
      <c r="D5" s="49">
        <v>5173</v>
      </c>
    </row>
    <row r="6" spans="1:6">
      <c r="A6" s="207" t="s">
        <v>79</v>
      </c>
      <c r="B6" s="208"/>
      <c r="C6" s="3" t="s">
        <v>80</v>
      </c>
      <c r="D6" s="50">
        <f>Principal!F10</f>
        <v>2</v>
      </c>
    </row>
    <row r="7" spans="1:6">
      <c r="A7" s="207" t="s">
        <v>81</v>
      </c>
      <c r="B7" s="208"/>
      <c r="C7" s="3" t="s">
        <v>82</v>
      </c>
      <c r="D7" s="51" t="s">
        <v>83</v>
      </c>
    </row>
    <row r="8" spans="1:6" ht="15.75">
      <c r="A8" s="52"/>
      <c r="B8" s="52"/>
      <c r="C8" s="52"/>
      <c r="D8" s="52"/>
    </row>
    <row r="9" spans="1:6" ht="15.75">
      <c r="A9" s="215" t="s">
        <v>9</v>
      </c>
      <c r="B9" s="215"/>
      <c r="C9" s="215"/>
      <c r="D9" s="215"/>
    </row>
    <row r="10" spans="1:6" ht="16.5" thickBot="1">
      <c r="A10" s="52"/>
      <c r="B10" s="52"/>
      <c r="C10" s="52"/>
      <c r="D10" s="52"/>
    </row>
    <row r="11" spans="1:6" ht="16.5" thickBot="1">
      <c r="A11" s="56">
        <v>1</v>
      </c>
      <c r="B11" s="216" t="s">
        <v>10</v>
      </c>
      <c r="C11" s="217"/>
      <c r="D11" s="57" t="s">
        <v>11</v>
      </c>
      <c r="E11" s="52"/>
    </row>
    <row r="12" spans="1:6" ht="16.5" thickBot="1">
      <c r="A12" s="58" t="s">
        <v>12</v>
      </c>
      <c r="B12" s="218" t="s">
        <v>13</v>
      </c>
      <c r="C12" s="219"/>
      <c r="D12" s="53">
        <f>'VACM Dia'!D12</f>
        <v>1680</v>
      </c>
      <c r="E12" s="59"/>
      <c r="F12" s="142"/>
    </row>
    <row r="13" spans="1:6" ht="16.5" thickBot="1">
      <c r="A13" s="58" t="s">
        <v>14</v>
      </c>
      <c r="B13" s="218" t="s">
        <v>144</v>
      </c>
      <c r="C13" s="219"/>
      <c r="D13" s="54">
        <f>$D$12*0.1</f>
        <v>168</v>
      </c>
      <c r="E13" s="59"/>
      <c r="F13" s="142"/>
    </row>
    <row r="14" spans="1:6" ht="16.5" thickBot="1">
      <c r="A14" s="58" t="s">
        <v>16</v>
      </c>
      <c r="B14" s="218" t="s">
        <v>15</v>
      </c>
      <c r="C14" s="219"/>
      <c r="D14" s="54">
        <f>$D$12*0.3</f>
        <v>504</v>
      </c>
      <c r="E14" s="59"/>
    </row>
    <row r="15" spans="1:6" ht="16.5" thickBot="1">
      <c r="A15" s="58" t="s">
        <v>17</v>
      </c>
      <c r="B15" s="218" t="s">
        <v>0</v>
      </c>
      <c r="C15" s="219"/>
      <c r="D15" s="14">
        <f>(($D$12+$D$14)/192*0.2*8*16)</f>
        <v>291.2</v>
      </c>
    </row>
    <row r="16" spans="1:6" ht="16.5" thickBot="1">
      <c r="A16" s="58" t="s">
        <v>18</v>
      </c>
      <c r="B16" s="218" t="s">
        <v>19</v>
      </c>
      <c r="C16" s="219"/>
      <c r="D16" s="14">
        <f>((($D$12+$D$14+$D$15)/192*1.5)*16)</f>
        <v>309.39999999999998</v>
      </c>
      <c r="E16" s="59"/>
    </row>
    <row r="17" spans="1:5" ht="16.5" thickBot="1">
      <c r="A17" s="58" t="s">
        <v>20</v>
      </c>
      <c r="B17" s="218" t="s">
        <v>85</v>
      </c>
      <c r="C17" s="219"/>
      <c r="D17" s="14">
        <v>0</v>
      </c>
      <c r="E17" s="59"/>
    </row>
    <row r="18" spans="1:5" ht="16.5" thickBot="1">
      <c r="A18" s="58" t="s">
        <v>21</v>
      </c>
      <c r="B18" s="218"/>
      <c r="C18" s="219"/>
      <c r="D18" s="54"/>
      <c r="E18" s="59"/>
    </row>
    <row r="19" spans="1:5" ht="16.149999999999999" customHeight="1" thickBot="1">
      <c r="A19" s="220" t="s">
        <v>143</v>
      </c>
      <c r="B19" s="221"/>
      <c r="C19" s="222"/>
      <c r="D19" s="18">
        <f>SUM(D12:D18)</f>
        <v>2952.6</v>
      </c>
      <c r="E19" s="151"/>
    </row>
    <row r="20" spans="1:5" ht="16.5" thickBot="1">
      <c r="A20" s="220" t="s">
        <v>149</v>
      </c>
      <c r="B20" s="221"/>
      <c r="C20" s="222"/>
      <c r="D20" s="18">
        <f>D19-D18</f>
        <v>2952.6</v>
      </c>
      <c r="E20" s="59"/>
    </row>
    <row r="21" spans="1:5" ht="15.75">
      <c r="A21" s="52"/>
      <c r="B21" s="52"/>
      <c r="C21" s="52"/>
      <c r="D21" s="59">
        <f>D20-D19</f>
        <v>0</v>
      </c>
    </row>
    <row r="22" spans="1:5" ht="15.75">
      <c r="A22" s="215" t="s">
        <v>22</v>
      </c>
      <c r="B22" s="215"/>
      <c r="C22" s="215"/>
      <c r="D22" s="215"/>
    </row>
    <row r="23" spans="1:5" ht="15.75">
      <c r="A23" s="62"/>
      <c r="B23" s="52"/>
      <c r="C23" s="52"/>
      <c r="D23" s="52"/>
    </row>
    <row r="24" spans="1:5" ht="15.75">
      <c r="A24" s="223" t="s">
        <v>23</v>
      </c>
      <c r="B24" s="223"/>
      <c r="C24" s="223"/>
      <c r="D24" s="223"/>
    </row>
    <row r="25" spans="1:5" ht="16.5" thickBot="1">
      <c r="A25" s="52"/>
      <c r="B25" s="63" t="s">
        <v>71</v>
      </c>
      <c r="C25" s="52"/>
      <c r="D25" s="52"/>
    </row>
    <row r="26" spans="1:5" ht="16.5" thickBot="1">
      <c r="A26" s="56" t="s">
        <v>24</v>
      </c>
      <c r="B26" s="57" t="s">
        <v>25</v>
      </c>
      <c r="C26" s="56" t="s">
        <v>72</v>
      </c>
      <c r="D26" s="57" t="s">
        <v>11</v>
      </c>
      <c r="E26" s="52"/>
    </row>
    <row r="27" spans="1:5" ht="16.5" thickBot="1">
      <c r="A27" s="58" t="s">
        <v>12</v>
      </c>
      <c r="B27" s="4" t="s">
        <v>245</v>
      </c>
      <c r="C27" s="64">
        <v>8.3333329999999997E-2</v>
      </c>
      <c r="D27" s="65">
        <f>D20*C27</f>
        <v>246.04999015799999</v>
      </c>
      <c r="E27" s="59"/>
    </row>
    <row r="28" spans="1:5" ht="16.5" thickBot="1">
      <c r="A28" s="58" t="s">
        <v>14</v>
      </c>
      <c r="B28" s="4" t="s">
        <v>148</v>
      </c>
      <c r="C28" s="66">
        <f>((1/12)+(1/3/12))</f>
        <v>0.1111111111111111</v>
      </c>
      <c r="D28" s="65">
        <f>D20*C28</f>
        <v>328.06666666666666</v>
      </c>
      <c r="E28" s="59"/>
    </row>
    <row r="29" spans="1:5" ht="16.5" thickBot="1">
      <c r="A29" s="220" t="s">
        <v>1</v>
      </c>
      <c r="B29" s="224"/>
      <c r="C29" s="67">
        <f>SUM(C27:C28)</f>
        <v>0.19444444111111109</v>
      </c>
      <c r="D29" s="68">
        <f>SUM(D27:D28)</f>
        <v>574.11665682466662</v>
      </c>
      <c r="E29" s="52"/>
    </row>
    <row r="30" spans="1:5" ht="15.75">
      <c r="A30" s="52"/>
      <c r="B30" s="52"/>
      <c r="C30" s="52"/>
      <c r="D30" s="52"/>
    </row>
    <row r="31" spans="1:5" ht="15.75">
      <c r="A31" s="225" t="s">
        <v>26</v>
      </c>
      <c r="B31" s="225"/>
      <c r="C31" s="225"/>
      <c r="D31" s="225"/>
    </row>
    <row r="32" spans="1:5" ht="16.5" thickBot="1">
      <c r="A32" s="52"/>
      <c r="B32" s="63" t="s">
        <v>70</v>
      </c>
      <c r="C32" s="52"/>
      <c r="D32" s="52"/>
    </row>
    <row r="33" spans="1:5" ht="16.5" thickBot="1">
      <c r="A33" s="56" t="s">
        <v>27</v>
      </c>
      <c r="B33" s="57" t="s">
        <v>28</v>
      </c>
      <c r="C33" s="57" t="s">
        <v>29</v>
      </c>
      <c r="D33" s="57" t="s">
        <v>11</v>
      </c>
    </row>
    <row r="34" spans="1:5" ht="16.5" thickBot="1">
      <c r="A34" s="58" t="s">
        <v>12</v>
      </c>
      <c r="B34" s="4" t="s">
        <v>30</v>
      </c>
      <c r="C34" s="69">
        <v>0.2</v>
      </c>
      <c r="D34" s="65">
        <f t="shared" ref="D34:D41" si="0">($D$20+$D$29)*C34</f>
        <v>705.34333136493342</v>
      </c>
    </row>
    <row r="35" spans="1:5" ht="14.25" customHeight="1" thickBot="1">
      <c r="A35" s="58" t="s">
        <v>14</v>
      </c>
      <c r="B35" s="4" t="s">
        <v>31</v>
      </c>
      <c r="C35" s="69">
        <v>2.5000000000000001E-2</v>
      </c>
      <c r="D35" s="65">
        <f t="shared" si="0"/>
        <v>88.167916420616677</v>
      </c>
      <c r="E35" s="143"/>
    </row>
    <row r="36" spans="1:5" ht="16.5" thickBot="1">
      <c r="A36" s="58" t="s">
        <v>16</v>
      </c>
      <c r="B36" s="4" t="s">
        <v>67</v>
      </c>
      <c r="C36" s="69">
        <v>0.03</v>
      </c>
      <c r="D36" s="65">
        <f t="shared" si="0"/>
        <v>105.80149970474</v>
      </c>
    </row>
    <row r="37" spans="1:5" ht="16.5" thickBot="1">
      <c r="A37" s="58" t="s">
        <v>17</v>
      </c>
      <c r="B37" s="4" t="s">
        <v>32</v>
      </c>
      <c r="C37" s="69">
        <v>1.4999999999999999E-2</v>
      </c>
      <c r="D37" s="65">
        <f t="shared" si="0"/>
        <v>52.900749852369998</v>
      </c>
    </row>
    <row r="38" spans="1:5" ht="16.5" thickBot="1">
      <c r="A38" s="58" t="s">
        <v>18</v>
      </c>
      <c r="B38" s="4" t="s">
        <v>33</v>
      </c>
      <c r="C38" s="69">
        <v>0.01</v>
      </c>
      <c r="D38" s="65">
        <f t="shared" si="0"/>
        <v>35.267166568246665</v>
      </c>
    </row>
    <row r="39" spans="1:5" ht="16.5" thickBot="1">
      <c r="A39" s="58" t="s">
        <v>20</v>
      </c>
      <c r="B39" s="4" t="s">
        <v>2</v>
      </c>
      <c r="C39" s="69">
        <v>6.0000000000000001E-3</v>
      </c>
      <c r="D39" s="65">
        <f t="shared" si="0"/>
        <v>21.160299940948001</v>
      </c>
      <c r="E39" s="143"/>
    </row>
    <row r="40" spans="1:5" ht="16.5" thickBot="1">
      <c r="A40" s="58" t="s">
        <v>21</v>
      </c>
      <c r="B40" s="4" t="s">
        <v>3</v>
      </c>
      <c r="C40" s="69">
        <v>2E-3</v>
      </c>
      <c r="D40" s="65">
        <f t="shared" si="0"/>
        <v>7.0534333136493332</v>
      </c>
      <c r="E40" s="143"/>
    </row>
    <row r="41" spans="1:5" ht="15.75" customHeight="1" thickBot="1">
      <c r="A41" s="58" t="s">
        <v>34</v>
      </c>
      <c r="B41" s="4" t="s">
        <v>4</v>
      </c>
      <c r="C41" s="69">
        <v>0.08</v>
      </c>
      <c r="D41" s="65">
        <f t="shared" si="0"/>
        <v>282.13733254597332</v>
      </c>
      <c r="E41" s="144"/>
    </row>
    <row r="42" spans="1:5" ht="16.5" thickBot="1">
      <c r="A42" s="220" t="s">
        <v>35</v>
      </c>
      <c r="B42" s="224"/>
      <c r="C42" s="73">
        <f>SUM(C34:C41)</f>
        <v>0.36800000000000005</v>
      </c>
      <c r="D42" s="68">
        <f>SUM(D34:D41)</f>
        <v>1297.8317297114772</v>
      </c>
    </row>
    <row r="43" spans="1:5" ht="15.75">
      <c r="A43" s="52"/>
      <c r="B43" s="52"/>
      <c r="C43" s="52"/>
      <c r="D43" s="52"/>
    </row>
    <row r="44" spans="1:5" ht="15.75">
      <c r="A44" s="223" t="s">
        <v>36</v>
      </c>
      <c r="B44" s="223"/>
      <c r="C44" s="223"/>
      <c r="D44" s="223"/>
    </row>
    <row r="45" spans="1:5" ht="16.5" thickBot="1">
      <c r="A45" s="52"/>
      <c r="B45" s="63" t="s">
        <v>69</v>
      </c>
      <c r="C45" s="52"/>
      <c r="D45" s="52"/>
    </row>
    <row r="46" spans="1:5" ht="16.5" thickBot="1">
      <c r="A46" s="56" t="s">
        <v>37</v>
      </c>
      <c r="B46" s="57" t="s">
        <v>38</v>
      </c>
      <c r="C46" s="74" t="s">
        <v>232</v>
      </c>
      <c r="D46" s="57" t="s">
        <v>11</v>
      </c>
      <c r="E46" s="52"/>
    </row>
    <row r="47" spans="1:5" ht="16.5" thickBot="1">
      <c r="A47" s="58" t="s">
        <v>12</v>
      </c>
      <c r="B47" s="4" t="s">
        <v>228</v>
      </c>
      <c r="C47" s="75" t="s">
        <v>155</v>
      </c>
      <c r="D47" s="54">
        <f>'VACM Dia'!D47</f>
        <v>135</v>
      </c>
      <c r="E47" s="52"/>
    </row>
    <row r="48" spans="1:5" ht="18" customHeight="1" thickBot="1">
      <c r="A48" s="58"/>
      <c r="B48" s="4" t="s">
        <v>68</v>
      </c>
      <c r="C48" s="78">
        <f>CCT!D31</f>
        <v>0.06</v>
      </c>
      <c r="D48" s="54">
        <f>-($D$12*C48)</f>
        <v>-100.8</v>
      </c>
      <c r="E48" s="52"/>
    </row>
    <row r="49" spans="1:5" ht="16.5" thickBot="1">
      <c r="A49" s="58" t="s">
        <v>14</v>
      </c>
      <c r="B49" s="4" t="s">
        <v>233</v>
      </c>
      <c r="C49" s="75" t="str">
        <f>'VACM Dia'!C49</f>
        <v>R$31,20*15</v>
      </c>
      <c r="D49" s="54">
        <f>15*CCT!C30</f>
        <v>468</v>
      </c>
      <c r="E49" s="52"/>
    </row>
    <row r="50" spans="1:5" ht="16.5" thickBot="1">
      <c r="A50" s="58"/>
      <c r="B50" s="4" t="s">
        <v>151</v>
      </c>
      <c r="C50" s="78">
        <f>CCT!D30</f>
        <v>0.05</v>
      </c>
      <c r="D50" s="54">
        <f>-C50*D49</f>
        <v>-23.400000000000002</v>
      </c>
      <c r="E50" s="52"/>
    </row>
    <row r="51" spans="1:5" ht="16.5" thickBot="1">
      <c r="A51" s="79" t="s">
        <v>16</v>
      </c>
      <c r="B51" s="80" t="s">
        <v>125</v>
      </c>
      <c r="C51" s="4"/>
      <c r="D51" s="54">
        <v>0</v>
      </c>
      <c r="E51" s="52"/>
    </row>
    <row r="52" spans="1:5" ht="16.5" thickBot="1">
      <c r="A52" s="58" t="s">
        <v>17</v>
      </c>
      <c r="B52" s="4" t="s">
        <v>236</v>
      </c>
      <c r="C52" s="145"/>
      <c r="D52" s="82">
        <f>CCT!C32</f>
        <v>136.88999999999999</v>
      </c>
      <c r="E52" s="83"/>
    </row>
    <row r="53" spans="1:5" ht="16.5" thickBot="1">
      <c r="A53" s="58"/>
      <c r="B53" s="4" t="s">
        <v>152</v>
      </c>
      <c r="C53" s="84">
        <f>CCT!D32</f>
        <v>0.05</v>
      </c>
      <c r="D53" s="54">
        <f>-CCT!C32*CCT!D32</f>
        <v>-6.8445</v>
      </c>
      <c r="E53" s="52"/>
    </row>
    <row r="54" spans="1:5" ht="16.5" thickBot="1">
      <c r="A54" s="58" t="s">
        <v>18</v>
      </c>
      <c r="B54" s="4" t="s">
        <v>197</v>
      </c>
      <c r="C54" s="4"/>
      <c r="D54" s="81">
        <f>CCT!C33</f>
        <v>12</v>
      </c>
      <c r="E54" s="59"/>
    </row>
    <row r="55" spans="1:5" ht="16.5" thickBot="1">
      <c r="A55" s="58" t="s">
        <v>20</v>
      </c>
      <c r="B55" s="4" t="s">
        <v>239</v>
      </c>
      <c r="C55" s="86">
        <f>CCT!D33</f>
        <v>0.5</v>
      </c>
      <c r="D55" s="54">
        <f>-C55*D54</f>
        <v>-6</v>
      </c>
      <c r="E55" s="59"/>
    </row>
    <row r="56" spans="1:5" ht="16.5" thickBot="1">
      <c r="A56" s="220" t="s">
        <v>1</v>
      </c>
      <c r="B56" s="224"/>
      <c r="C56" s="87"/>
      <c r="D56" s="18">
        <f>SUM(D47:D55)</f>
        <v>614.84550000000002</v>
      </c>
      <c r="E56" s="52"/>
    </row>
    <row r="57" spans="1:5" ht="15.75">
      <c r="A57" s="52"/>
      <c r="B57" s="52"/>
      <c r="C57" s="52"/>
      <c r="D57" s="52"/>
    </row>
    <row r="58" spans="1:5" ht="15.75">
      <c r="A58" s="223" t="s">
        <v>39</v>
      </c>
      <c r="B58" s="223"/>
      <c r="C58" s="223"/>
      <c r="D58" s="52"/>
    </row>
    <row r="59" spans="1:5" ht="16.5" thickBot="1">
      <c r="A59" s="52"/>
      <c r="B59" s="88" t="s">
        <v>246</v>
      </c>
      <c r="C59" s="52"/>
      <c r="D59" s="52"/>
    </row>
    <row r="60" spans="1:5" ht="16.5" thickBot="1">
      <c r="A60" s="56">
        <v>2</v>
      </c>
      <c r="B60" s="57" t="s">
        <v>40</v>
      </c>
      <c r="C60" s="57" t="s">
        <v>11</v>
      </c>
      <c r="D60" s="52"/>
    </row>
    <row r="61" spans="1:5" ht="16.5" thickBot="1">
      <c r="A61" s="58" t="s">
        <v>24</v>
      </c>
      <c r="B61" s="4" t="s">
        <v>25</v>
      </c>
      <c r="C61" s="65">
        <f>D29</f>
        <v>574.11665682466662</v>
      </c>
      <c r="D61" s="52"/>
    </row>
    <row r="62" spans="1:5" ht="16.5" thickBot="1">
      <c r="A62" s="58" t="s">
        <v>27</v>
      </c>
      <c r="B62" s="4" t="s">
        <v>28</v>
      </c>
      <c r="C62" s="65">
        <f>D42</f>
        <v>1297.8317297114772</v>
      </c>
      <c r="D62" s="52"/>
    </row>
    <row r="63" spans="1:5" ht="16.5" thickBot="1">
      <c r="A63" s="58" t="s">
        <v>37</v>
      </c>
      <c r="B63" s="4" t="s">
        <v>38</v>
      </c>
      <c r="C63" s="65">
        <f>D56</f>
        <v>614.84550000000002</v>
      </c>
      <c r="D63" s="52"/>
    </row>
    <row r="64" spans="1:5" ht="16.5" thickBot="1">
      <c r="A64" s="226" t="s">
        <v>1</v>
      </c>
      <c r="B64" s="227"/>
      <c r="C64" s="89">
        <f>SUM(C61:C63)+0.03</f>
        <v>2486.8238865361441</v>
      </c>
      <c r="D64" s="52"/>
    </row>
    <row r="65" spans="1:5" ht="15.75">
      <c r="A65" s="90"/>
      <c r="B65" s="52"/>
      <c r="C65" s="52"/>
      <c r="D65" s="52"/>
    </row>
    <row r="66" spans="1:5" ht="15.75">
      <c r="A66" s="215" t="s">
        <v>41</v>
      </c>
      <c r="B66" s="215"/>
      <c r="C66" s="215"/>
      <c r="D66" s="215"/>
    </row>
    <row r="67" spans="1:5" ht="16.5" thickBot="1">
      <c r="A67" s="228" t="s">
        <v>142</v>
      </c>
      <c r="B67" s="228"/>
      <c r="C67" s="228"/>
      <c r="D67" s="228"/>
    </row>
    <row r="68" spans="1:5" ht="16.5" thickBot="1">
      <c r="A68" s="56">
        <v>3</v>
      </c>
      <c r="B68" s="57" t="s">
        <v>42</v>
      </c>
      <c r="C68" s="56" t="s">
        <v>72</v>
      </c>
      <c r="D68" s="56" t="s">
        <v>11</v>
      </c>
      <c r="E68" s="146"/>
    </row>
    <row r="69" spans="1:5" ht="16.5" thickBot="1">
      <c r="A69" s="58" t="s">
        <v>12</v>
      </c>
      <c r="B69" s="93" t="s">
        <v>43</v>
      </c>
      <c r="C69" s="94">
        <f>(100%*(1/12)*5%)*100%</f>
        <v>4.1666666666666666E-3</v>
      </c>
      <c r="D69" s="95">
        <f>C69*$D$20</f>
        <v>12.3025</v>
      </c>
      <c r="E69" s="96"/>
    </row>
    <row r="70" spans="1:5" ht="16.5" thickBot="1">
      <c r="A70" s="58" t="s">
        <v>14</v>
      </c>
      <c r="B70" s="93" t="s">
        <v>44</v>
      </c>
      <c r="C70" s="97">
        <f>C69*C41</f>
        <v>3.3333333333333332E-4</v>
      </c>
      <c r="D70" s="95">
        <f t="shared" ref="D70:D74" si="1">C70*$D$20</f>
        <v>0.98419999999999996</v>
      </c>
      <c r="E70" s="96"/>
    </row>
    <row r="71" spans="1:5" ht="32.25" thickBot="1">
      <c r="A71" s="58" t="s">
        <v>16</v>
      </c>
      <c r="B71" s="93" t="s">
        <v>45</v>
      </c>
      <c r="C71" s="98">
        <f>C70*40%</f>
        <v>1.3333333333333334E-4</v>
      </c>
      <c r="D71" s="95">
        <f t="shared" si="1"/>
        <v>0.39368000000000003</v>
      </c>
      <c r="E71" s="52"/>
    </row>
    <row r="72" spans="1:5" ht="16.5" thickBot="1">
      <c r="A72" s="58" t="s">
        <v>17</v>
      </c>
      <c r="B72" s="93" t="s">
        <v>46</v>
      </c>
      <c r="C72" s="99">
        <f>((7/30)/12)</f>
        <v>1.9444444444444445E-2</v>
      </c>
      <c r="D72" s="95">
        <f t="shared" si="1"/>
        <v>57.411666666666669</v>
      </c>
      <c r="E72" s="52"/>
    </row>
    <row r="73" spans="1:5" ht="32.25" thickBot="1">
      <c r="A73" s="58" t="s">
        <v>18</v>
      </c>
      <c r="B73" s="93" t="s">
        <v>78</v>
      </c>
      <c r="C73" s="98">
        <f>C42*C72</f>
        <v>7.1555555555555565E-3</v>
      </c>
      <c r="D73" s="95">
        <f t="shared" si="1"/>
        <v>21.127493333333334</v>
      </c>
      <c r="E73" s="52"/>
    </row>
    <row r="74" spans="1:5" ht="32.25" thickBot="1">
      <c r="A74" s="58" t="s">
        <v>20</v>
      </c>
      <c r="B74" s="93" t="s">
        <v>47</v>
      </c>
      <c r="C74" s="98">
        <f>((100%+8.33%+11.11%)*8%*40%+0.18%)</f>
        <v>4.0020800000000002E-2</v>
      </c>
      <c r="D74" s="95">
        <f t="shared" si="1"/>
        <v>118.16541408000001</v>
      </c>
      <c r="E74" s="52"/>
    </row>
    <row r="75" spans="1:5" ht="16.5" thickBot="1">
      <c r="A75" s="229" t="s">
        <v>1</v>
      </c>
      <c r="B75" s="230"/>
      <c r="C75" s="100">
        <f>SUM(C69:C74)</f>
        <v>7.125413333333333E-2</v>
      </c>
      <c r="D75" s="148">
        <f>SUM(D69:D74)</f>
        <v>210.38495408</v>
      </c>
      <c r="E75" s="52"/>
    </row>
    <row r="76" spans="1:5" ht="15.75">
      <c r="A76" s="52"/>
      <c r="B76" s="52"/>
      <c r="C76" s="103"/>
      <c r="D76" s="52"/>
    </row>
    <row r="77" spans="1:5" ht="15.75">
      <c r="A77" s="215" t="s">
        <v>48</v>
      </c>
      <c r="B77" s="215"/>
      <c r="C77" s="215"/>
      <c r="D77" s="215"/>
    </row>
    <row r="78" spans="1:5">
      <c r="A78" s="233"/>
      <c r="B78" s="233"/>
      <c r="C78" s="233"/>
      <c r="D78" s="233"/>
    </row>
    <row r="79" spans="1:5" ht="15.75">
      <c r="A79" s="223" t="s">
        <v>49</v>
      </c>
      <c r="B79" s="223"/>
      <c r="C79" s="223"/>
      <c r="D79" s="223"/>
      <c r="E79" s="106" t="s">
        <v>176</v>
      </c>
    </row>
    <row r="80" spans="1:5" ht="16.5" thickBot="1">
      <c r="D80" s="59"/>
    </row>
    <row r="81" spans="1:5" ht="16.5" thickBot="1">
      <c r="A81" s="56" t="s">
        <v>50</v>
      </c>
      <c r="B81" s="57" t="s">
        <v>51</v>
      </c>
      <c r="C81" s="56" t="s">
        <v>72</v>
      </c>
      <c r="D81" s="57" t="s">
        <v>11</v>
      </c>
      <c r="E81" s="52"/>
    </row>
    <row r="82" spans="1:5" ht="16.5" thickBot="1">
      <c r="A82" s="58" t="s">
        <v>12</v>
      </c>
      <c r="B82" s="4" t="s">
        <v>150</v>
      </c>
      <c r="C82" s="159">
        <f>((((1/12/12))+(((1/12/12)/3))*100%))</f>
        <v>9.2592592592592587E-3</v>
      </c>
      <c r="D82" s="65">
        <f>($D$20+$D$29+$D$42)*C82*0</f>
        <v>0</v>
      </c>
      <c r="E82" s="59"/>
    </row>
    <row r="83" spans="1:5" ht="16.5" thickBot="1">
      <c r="A83" s="58" t="s">
        <v>14</v>
      </c>
      <c r="B83" s="4" t="s">
        <v>137</v>
      </c>
      <c r="C83" s="107">
        <f>((2/30)/12)*100%</f>
        <v>5.5555555555555558E-3</v>
      </c>
      <c r="D83" s="65">
        <f>($D$20+$D$29+$D$42)*C83</f>
        <v>26.803046591867467</v>
      </c>
      <c r="E83" s="52"/>
    </row>
    <row r="84" spans="1:5" ht="16.5" thickBot="1">
      <c r="A84" s="58" t="s">
        <v>16</v>
      </c>
      <c r="B84" s="4" t="s">
        <v>138</v>
      </c>
      <c r="C84" s="110">
        <f>(((5/30)/12)*0.015)*100%</f>
        <v>2.0833333333333332E-4</v>
      </c>
      <c r="D84" s="65">
        <f t="shared" ref="D84:D87" si="2">($D$20+$D$29+$D$42)*C84</f>
        <v>1.0051142471950298</v>
      </c>
      <c r="E84" s="109"/>
    </row>
    <row r="85" spans="1:5" ht="16.5" thickBot="1">
      <c r="A85" s="58" t="s">
        <v>18</v>
      </c>
      <c r="B85" s="4" t="s">
        <v>139</v>
      </c>
      <c r="C85" s="110">
        <f>(((15/30)/12)*0.08)*100%</f>
        <v>3.3333333333333331E-3</v>
      </c>
      <c r="D85" s="65">
        <f t="shared" si="2"/>
        <v>16.081827955120477</v>
      </c>
      <c r="E85" s="52"/>
    </row>
    <row r="86" spans="1:5" ht="16.5" thickBot="1">
      <c r="A86" s="58" t="s">
        <v>17</v>
      </c>
      <c r="B86" s="111" t="s">
        <v>140</v>
      </c>
      <c r="C86" s="112">
        <f>((4/12)/12*0.02*100%)</f>
        <v>5.5555555555555556E-4</v>
      </c>
      <c r="D86" s="65">
        <f t="shared" si="2"/>
        <v>2.6803046591867465</v>
      </c>
      <c r="E86" s="52"/>
    </row>
    <row r="87" spans="1:5" ht="16.5" thickBot="1">
      <c r="A87" s="58" t="s">
        <v>20</v>
      </c>
      <c r="B87" s="4" t="s">
        <v>141</v>
      </c>
      <c r="C87" s="110">
        <v>0</v>
      </c>
      <c r="D87" s="65">
        <f t="shared" si="2"/>
        <v>0</v>
      </c>
      <c r="E87" s="59"/>
    </row>
    <row r="88" spans="1:5" ht="16.5" thickBot="1">
      <c r="A88" s="216" t="s">
        <v>35</v>
      </c>
      <c r="B88" s="232"/>
      <c r="C88" s="113">
        <f>SUM(C82:C87)</f>
        <v>1.8912037037037036E-2</v>
      </c>
      <c r="D88" s="114">
        <f>SUM(D82:D87)</f>
        <v>46.570293453369722</v>
      </c>
      <c r="E88" s="52"/>
    </row>
    <row r="89" spans="1:5" ht="15.75">
      <c r="A89" s="52"/>
      <c r="B89" s="52"/>
      <c r="C89" s="52"/>
      <c r="D89" s="52"/>
    </row>
    <row r="90" spans="1:5" ht="15.75">
      <c r="A90" s="223" t="s">
        <v>52</v>
      </c>
      <c r="B90" s="223"/>
      <c r="C90" s="223"/>
      <c r="D90" s="223"/>
    </row>
    <row r="91" spans="1:5" ht="16.5" thickBot="1">
      <c r="A91" s="62"/>
      <c r="B91" s="52"/>
      <c r="C91" s="52"/>
      <c r="D91" s="52"/>
    </row>
    <row r="92" spans="1:5" ht="16.5" thickBot="1">
      <c r="A92" s="56" t="s">
        <v>53</v>
      </c>
      <c r="B92" s="57" t="s">
        <v>54</v>
      </c>
      <c r="C92" s="56" t="s">
        <v>72</v>
      </c>
      <c r="D92" s="57" t="s">
        <v>11</v>
      </c>
      <c r="E92" s="52"/>
    </row>
    <row r="93" spans="1:5" ht="16.5" thickBot="1">
      <c r="A93" s="58" t="s">
        <v>12</v>
      </c>
      <c r="B93" s="4" t="s">
        <v>66</v>
      </c>
      <c r="C93" s="115" t="s">
        <v>179</v>
      </c>
      <c r="D93" s="116">
        <f>(($D$20/180)*1.5)*15</f>
        <v>369.07499999999993</v>
      </c>
      <c r="E93" s="52"/>
    </row>
    <row r="94" spans="1:5" ht="16.5" thickBot="1">
      <c r="A94" s="216" t="s">
        <v>1</v>
      </c>
      <c r="B94" s="232"/>
      <c r="C94" s="117"/>
      <c r="D94" s="118">
        <f>SUM(D93)</f>
        <v>369.07499999999993</v>
      </c>
      <c r="E94" s="52"/>
    </row>
    <row r="95" spans="1:5" ht="15.75">
      <c r="A95" s="52"/>
      <c r="B95" s="52"/>
      <c r="C95" s="52"/>
      <c r="D95" s="52"/>
      <c r="E95" s="52"/>
    </row>
    <row r="96" spans="1:5" ht="15.75">
      <c r="A96" s="223" t="s">
        <v>55</v>
      </c>
      <c r="B96" s="223"/>
      <c r="C96" s="223"/>
    </row>
    <row r="97" spans="1:5" ht="16.5" thickBot="1">
      <c r="A97" s="62"/>
      <c r="B97" s="52"/>
      <c r="C97" s="52"/>
    </row>
    <row r="98" spans="1:5" ht="16.5" thickBot="1">
      <c r="A98" s="56">
        <v>4</v>
      </c>
      <c r="B98" s="57" t="s">
        <v>56</v>
      </c>
      <c r="C98" s="57" t="s">
        <v>11</v>
      </c>
      <c r="D98" s="52"/>
    </row>
    <row r="99" spans="1:5" ht="16.5" thickBot="1">
      <c r="A99" s="58" t="s">
        <v>50</v>
      </c>
      <c r="B99" s="4" t="s">
        <v>51</v>
      </c>
      <c r="C99" s="54">
        <f>D88</f>
        <v>46.570293453369722</v>
      </c>
      <c r="D99" s="52"/>
    </row>
    <row r="100" spans="1:5" ht="16.5" thickBot="1">
      <c r="A100" s="58" t="s">
        <v>53</v>
      </c>
      <c r="B100" s="4" t="s">
        <v>54</v>
      </c>
      <c r="C100" s="54">
        <f>D94</f>
        <v>369.07499999999993</v>
      </c>
      <c r="D100" s="52"/>
    </row>
    <row r="101" spans="1:5" ht="15.75" customHeight="1" thickBot="1">
      <c r="A101" s="216" t="s">
        <v>1</v>
      </c>
      <c r="B101" s="232"/>
      <c r="C101" s="118">
        <f>SUM(C99:C100)</f>
        <v>415.64529345336967</v>
      </c>
      <c r="D101" s="52"/>
    </row>
    <row r="102" spans="1:5" ht="15.75">
      <c r="A102" s="52"/>
      <c r="B102" s="52"/>
      <c r="C102" s="52"/>
      <c r="D102" s="52"/>
    </row>
    <row r="103" spans="1:5" ht="15.75">
      <c r="A103" s="52"/>
      <c r="B103" s="52"/>
      <c r="C103" s="52"/>
      <c r="D103" s="52"/>
    </row>
    <row r="104" spans="1:5" ht="15.75">
      <c r="A104" s="231" t="s">
        <v>57</v>
      </c>
      <c r="B104" s="231"/>
      <c r="C104" s="231"/>
    </row>
    <row r="105" spans="1:5" ht="16.5" thickBot="1">
      <c r="A105" s="52"/>
      <c r="B105" s="52"/>
      <c r="C105" s="52"/>
    </row>
    <row r="106" spans="1:5" ht="16.5" thickBot="1">
      <c r="A106" s="56">
        <v>5</v>
      </c>
      <c r="B106" s="119" t="s">
        <v>5</v>
      </c>
      <c r="C106" s="57" t="s">
        <v>11</v>
      </c>
      <c r="D106" s="52"/>
    </row>
    <row r="107" spans="1:5" ht="16.5" thickBot="1">
      <c r="A107" s="58" t="s">
        <v>12</v>
      </c>
      <c r="B107" s="4" t="s">
        <v>58</v>
      </c>
      <c r="C107" s="54">
        <f>'VA Dia'!C108</f>
        <v>74.84</v>
      </c>
      <c r="D107" s="52"/>
    </row>
    <row r="108" spans="1:5" ht="16.5" thickBot="1">
      <c r="A108" s="58" t="s">
        <v>14</v>
      </c>
      <c r="B108" s="4" t="s">
        <v>126</v>
      </c>
      <c r="C108" s="54">
        <f>'VA Dia'!C109</f>
        <v>152.53421778771545</v>
      </c>
      <c r="D108" s="52"/>
    </row>
    <row r="109" spans="1:5" ht="16.5" thickBot="1">
      <c r="A109" s="58" t="s">
        <v>16</v>
      </c>
      <c r="B109" s="4" t="s">
        <v>127</v>
      </c>
      <c r="C109" s="14"/>
      <c r="E109" s="52"/>
    </row>
    <row r="110" spans="1:5" ht="16.5" thickBot="1">
      <c r="A110" s="58" t="s">
        <v>17</v>
      </c>
      <c r="B110" s="4" t="s">
        <v>84</v>
      </c>
      <c r="C110" s="54"/>
      <c r="D110" s="52"/>
    </row>
    <row r="111" spans="1:5" ht="16.5" thickBot="1">
      <c r="A111" s="216" t="s">
        <v>35</v>
      </c>
      <c r="B111" s="232"/>
      <c r="C111" s="118">
        <f>SUM(C107:C110)</f>
        <v>227.37421778771545</v>
      </c>
      <c r="D111" s="52"/>
    </row>
    <row r="112" spans="1:5" ht="15.75">
      <c r="A112" s="52"/>
      <c r="B112" s="52"/>
      <c r="C112" s="52"/>
      <c r="D112" s="52"/>
    </row>
    <row r="113" spans="1:5" ht="15.75">
      <c r="A113" s="231" t="s">
        <v>59</v>
      </c>
      <c r="B113" s="231"/>
      <c r="C113" s="231"/>
      <c r="D113" s="231"/>
    </row>
    <row r="114" spans="1:5" ht="16.5" thickBot="1">
      <c r="A114" s="52"/>
      <c r="B114" s="52"/>
      <c r="C114" s="52"/>
      <c r="D114" s="52"/>
    </row>
    <row r="115" spans="1:5" ht="16.5" thickBot="1">
      <c r="A115" s="56">
        <v>6</v>
      </c>
      <c r="B115" s="119" t="s">
        <v>6</v>
      </c>
      <c r="C115" s="57" t="s">
        <v>29</v>
      </c>
      <c r="D115" s="121" t="s">
        <v>11</v>
      </c>
      <c r="E115" s="122"/>
    </row>
    <row r="116" spans="1:5" ht="16.5" thickBot="1">
      <c r="A116" s="58" t="s">
        <v>12</v>
      </c>
      <c r="B116" s="4" t="s">
        <v>131</v>
      </c>
      <c r="C116" s="110">
        <f>'VA Dia'!C117</f>
        <v>0.05</v>
      </c>
      <c r="D116" s="123">
        <f>$C$132*C116</f>
        <v>314.6414175928615</v>
      </c>
      <c r="E116" s="124"/>
    </row>
    <row r="117" spans="1:5" ht="16.5" thickBot="1">
      <c r="A117" s="58" t="s">
        <v>14</v>
      </c>
      <c r="B117" s="4" t="s">
        <v>8</v>
      </c>
      <c r="C117" s="110">
        <f>'VA Noite'!C117</f>
        <v>6.7900000000000002E-2</v>
      </c>
      <c r="D117" s="123">
        <f>($C$132+$D$116)*C117</f>
        <v>448.6471973456612</v>
      </c>
      <c r="E117" s="124"/>
    </row>
    <row r="118" spans="1:5" ht="16.5" thickBot="1">
      <c r="A118" s="58" t="s">
        <v>16</v>
      </c>
      <c r="B118" s="4" t="s">
        <v>75</v>
      </c>
      <c r="C118" s="125">
        <f>C119+C120+C121</f>
        <v>8.6499999999999994E-2</v>
      </c>
      <c r="D118" s="152"/>
      <c r="E118" s="124"/>
    </row>
    <row r="119" spans="1:5" ht="16.5" thickBot="1">
      <c r="A119" s="58"/>
      <c r="B119" s="4" t="s">
        <v>73</v>
      </c>
      <c r="C119" s="110">
        <v>6.4999999999999997E-3</v>
      </c>
      <c r="D119" s="128">
        <f>(($C$132+$D$116+$D$117)/1-$C$118)*C119</f>
        <v>45.864198034172382</v>
      </c>
      <c r="E119" s="153"/>
    </row>
    <row r="120" spans="1:5" ht="16.5" thickBot="1">
      <c r="A120" s="58"/>
      <c r="B120" s="4" t="s">
        <v>74</v>
      </c>
      <c r="C120" s="127">
        <v>0.03</v>
      </c>
      <c r="D120" s="128">
        <f>(($C$132+$D$116+$D$117)/1-$C$118)*C120</f>
        <v>211.68091400387254</v>
      </c>
      <c r="E120" s="153"/>
    </row>
    <row r="121" spans="1:5" ht="16.5" thickBot="1">
      <c r="A121" s="58"/>
      <c r="B121" s="4" t="s">
        <v>60</v>
      </c>
      <c r="C121" s="110">
        <v>0.05</v>
      </c>
      <c r="D121" s="128">
        <f>(($C$132+$D$116+$D$117)/1-$C$118)*C121</f>
        <v>352.80152333978759</v>
      </c>
      <c r="E121" s="153"/>
    </row>
    <row r="122" spans="1:5" ht="16.5" thickBot="1">
      <c r="A122" s="216" t="s">
        <v>35</v>
      </c>
      <c r="B122" s="232"/>
      <c r="C122" s="73">
        <f>SUM(C116:C121)-C118</f>
        <v>0.2044</v>
      </c>
      <c r="D122" s="154">
        <f>SUM(D116:D121)</f>
        <v>1373.6352503163553</v>
      </c>
    </row>
    <row r="123" spans="1:5" ht="15.75">
      <c r="A123" s="130"/>
      <c r="B123" s="130"/>
      <c r="C123" s="158"/>
      <c r="D123" s="132"/>
    </row>
    <row r="124" spans="1:5" ht="15.75">
      <c r="A124" s="231" t="s">
        <v>61</v>
      </c>
      <c r="B124" s="231"/>
      <c r="C124" s="231"/>
      <c r="D124" s="59"/>
      <c r="E124" s="61"/>
    </row>
    <row r="125" spans="1:5" ht="16.5" thickBot="1">
      <c r="A125" s="52"/>
      <c r="B125" s="52"/>
      <c r="C125" s="52"/>
      <c r="D125" s="59"/>
      <c r="E125" s="61"/>
    </row>
    <row r="126" spans="1:5" ht="32.25" thickBot="1">
      <c r="A126" s="56"/>
      <c r="B126" s="57" t="s">
        <v>62</v>
      </c>
      <c r="C126" s="57" t="s">
        <v>11</v>
      </c>
      <c r="D126" s="52"/>
      <c r="E126" s="160"/>
    </row>
    <row r="127" spans="1:5" ht="16.5" thickBot="1">
      <c r="A127" s="138" t="s">
        <v>12</v>
      </c>
      <c r="B127" s="4" t="s">
        <v>9</v>
      </c>
      <c r="C127" s="139">
        <f>D19</f>
        <v>2952.6</v>
      </c>
      <c r="D127" s="52"/>
      <c r="E127" s="61"/>
    </row>
    <row r="128" spans="1:5" ht="16.5" thickBot="1">
      <c r="A128" s="138" t="s">
        <v>14</v>
      </c>
      <c r="B128" s="4" t="s">
        <v>22</v>
      </c>
      <c r="C128" s="139">
        <f>C64</f>
        <v>2486.8238865361441</v>
      </c>
      <c r="D128" s="52"/>
    </row>
    <row r="129" spans="1:7" ht="16.5" thickBot="1">
      <c r="A129" s="138" t="s">
        <v>16</v>
      </c>
      <c r="B129" s="4" t="s">
        <v>41</v>
      </c>
      <c r="C129" s="139">
        <f>D75</f>
        <v>210.38495408</v>
      </c>
      <c r="D129" s="52"/>
    </row>
    <row r="130" spans="1:7" ht="16.5" thickBot="1">
      <c r="A130" s="138" t="s">
        <v>17</v>
      </c>
      <c r="B130" s="4" t="s">
        <v>48</v>
      </c>
      <c r="C130" s="139">
        <f>C101</f>
        <v>415.64529345336967</v>
      </c>
      <c r="D130" s="52"/>
    </row>
    <row r="131" spans="1:7" ht="16.5" thickBot="1">
      <c r="A131" s="138" t="s">
        <v>18</v>
      </c>
      <c r="B131" s="4" t="s">
        <v>57</v>
      </c>
      <c r="C131" s="139">
        <f>C111</f>
        <v>227.37421778771545</v>
      </c>
      <c r="D131" s="52"/>
    </row>
    <row r="132" spans="1:7" ht="16.5" thickBot="1">
      <c r="A132" s="216" t="s">
        <v>63</v>
      </c>
      <c r="B132" s="232"/>
      <c r="C132" s="140">
        <f>SUM(C127:C131)</f>
        <v>6292.8283518572298</v>
      </c>
      <c r="D132" s="141"/>
    </row>
    <row r="133" spans="1:7" ht="16.5" thickBot="1">
      <c r="A133" s="138" t="s">
        <v>20</v>
      </c>
      <c r="B133" s="4" t="s">
        <v>64</v>
      </c>
      <c r="C133" s="139">
        <f>D122</f>
        <v>1373.6352503163553</v>
      </c>
      <c r="D133" s="52"/>
    </row>
    <row r="134" spans="1:7" ht="16.5" thickBot="1">
      <c r="A134" s="138"/>
      <c r="B134" s="4"/>
      <c r="C134" s="139"/>
      <c r="D134" s="52"/>
    </row>
    <row r="135" spans="1:7" ht="16.5" thickBot="1">
      <c r="A135" s="216" t="s">
        <v>65</v>
      </c>
      <c r="B135" s="232"/>
      <c r="C135" s="140">
        <f>SUM(C132:C134)</f>
        <v>7666.4636021735851</v>
      </c>
      <c r="D135" s="52"/>
    </row>
    <row r="140" spans="1:7">
      <c r="G140" s="61" t="e">
        <f>'VA Dia'!#REF!+'VA Noite'!#REF!+'VACC Dia'!#REF!+'VACC Noite'!#REF!+'VACM Dia'!F123</f>
        <v>#REF!</v>
      </c>
    </row>
    <row r="141" spans="1:7">
      <c r="G141" s="61" t="e">
        <f>G140/4</f>
        <v>#REF!</v>
      </c>
    </row>
  </sheetData>
  <mergeCells count="44">
    <mergeCell ref="A58:C58"/>
    <mergeCell ref="A64:B64"/>
    <mergeCell ref="A66:D66"/>
    <mergeCell ref="A67:D67"/>
    <mergeCell ref="A90:D90"/>
    <mergeCell ref="A124:C124"/>
    <mergeCell ref="A132:B132"/>
    <mergeCell ref="A111:B111"/>
    <mergeCell ref="A75:B75"/>
    <mergeCell ref="A135:B135"/>
    <mergeCell ref="A122:B122"/>
    <mergeCell ref="A77:D77"/>
    <mergeCell ref="A78:D78"/>
    <mergeCell ref="A79:D79"/>
    <mergeCell ref="A88:B88"/>
    <mergeCell ref="A113:D113"/>
    <mergeCell ref="A94:B94"/>
    <mergeCell ref="A96:C96"/>
    <mergeCell ref="A101:B101"/>
    <mergeCell ref="A104:C104"/>
    <mergeCell ref="A24:D24"/>
    <mergeCell ref="A20:C20"/>
    <mergeCell ref="A44:D44"/>
    <mergeCell ref="A22:D22"/>
    <mergeCell ref="A56:B56"/>
    <mergeCell ref="A29:B29"/>
    <mergeCell ref="A31:D31"/>
    <mergeCell ref="A42:B42"/>
    <mergeCell ref="B18:C18"/>
    <mergeCell ref="A19:C19"/>
    <mergeCell ref="A7:B7"/>
    <mergeCell ref="A2:D2"/>
    <mergeCell ref="A3:D3"/>
    <mergeCell ref="A4:B4"/>
    <mergeCell ref="A5:B5"/>
    <mergeCell ref="A6:B6"/>
    <mergeCell ref="B13:C13"/>
    <mergeCell ref="B14:C14"/>
    <mergeCell ref="B15:C15"/>
    <mergeCell ref="B16:C16"/>
    <mergeCell ref="B17:C17"/>
    <mergeCell ref="A9:D9"/>
    <mergeCell ref="B11:C11"/>
    <mergeCell ref="B12:C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portrait" r:id="rId1"/>
  <rowBreaks count="2" manualBreakCount="2">
    <brk id="57" max="3" man="1"/>
    <brk id="112" max="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CCT</vt:lpstr>
      <vt:lpstr>Inspetor Dia</vt:lpstr>
      <vt:lpstr>Inspetor Noite</vt:lpstr>
      <vt:lpstr>VA Dia</vt:lpstr>
      <vt:lpstr>VA Noite</vt:lpstr>
      <vt:lpstr>VACC Dia</vt:lpstr>
      <vt:lpstr>VACC Noite</vt:lpstr>
      <vt:lpstr>VACM Dia</vt:lpstr>
      <vt:lpstr>VACM Noite</vt:lpstr>
      <vt:lpstr>Equipam</vt:lpstr>
      <vt:lpstr>Unif</vt:lpstr>
      <vt:lpstr>Principal</vt:lpstr>
      <vt:lpstr>Equipam!Area_de_impressao</vt:lpstr>
      <vt:lpstr>'Inspetor Dia'!Area_de_impressao</vt:lpstr>
      <vt:lpstr>'Inspetor Noite'!Area_de_impressao</vt:lpstr>
      <vt:lpstr>Unif!Area_de_impressao</vt:lpstr>
      <vt:lpstr>'VA Dia'!Area_de_impressao</vt:lpstr>
      <vt:lpstr>'VA Noite'!Area_de_impressao</vt:lpstr>
      <vt:lpstr>'VACC Dia'!Area_de_impressao</vt:lpstr>
      <vt:lpstr>'VACC Noite'!Area_de_impressao</vt:lpstr>
      <vt:lpstr>'VACM Dia'!Area_de_impressao</vt:lpstr>
      <vt:lpstr>'VACM Noite'!Area_de_impressao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Usuário</cp:lastModifiedBy>
  <cp:lastPrinted>2024-10-25T01:47:56Z</cp:lastPrinted>
  <dcterms:created xsi:type="dcterms:W3CDTF">2018-01-23T19:35:16Z</dcterms:created>
  <dcterms:modified xsi:type="dcterms:W3CDTF">2025-01-08T13:18:56Z</dcterms:modified>
</cp:coreProperties>
</file>