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 firstSheet="6" activeTab="8"/>
  </bookViews>
  <sheets>
    <sheet name="Encarregado " sheetId="37" r:id="rId1"/>
    <sheet name="Aux Limpeza 800m" sheetId="38" r:id="rId2"/>
    <sheet name="Aux Limpeza Ins 20% 800m" sheetId="39" r:id="rId3"/>
    <sheet name="Aux Limpeza Ins 40% 800m" sheetId="40" r:id="rId4"/>
    <sheet name="Campus,Cs Est, Museu,CAUA 1 800" sheetId="19" r:id="rId5"/>
    <sheet name="Aux Limpeza 1200m" sheetId="41" r:id="rId6"/>
    <sheet name="Aux Limpeza Ins 20% 1200m" sheetId="42" r:id="rId7"/>
    <sheet name="Aux Limpeza Ins 40% 1200m" sheetId="43" r:id="rId8"/>
    <sheet name="Campus,Cs Est, Museu,CAUA1 1200" sheetId="30" r:id="rId9"/>
    <sheet name="Materiais " sheetId="33" r:id="rId10"/>
    <sheet name="Equipamentos" sheetId="34" r:id="rId11"/>
  </sheets>
  <definedNames>
    <definedName name="_xlnm.Print_Area" localSheetId="5">'Aux Limpeza 1200m'!$A$1:$E$172</definedName>
    <definedName name="_xlnm.Print_Area" localSheetId="1">'Aux Limpeza 800m'!$A$1:$E$172</definedName>
    <definedName name="_xlnm.Print_Area" localSheetId="6">'Aux Limpeza Ins 20% 1200m'!$A$1:$E$172</definedName>
    <definedName name="_xlnm.Print_Area" localSheetId="2">'Aux Limpeza Ins 20% 800m'!$A$1:$E$172</definedName>
    <definedName name="_xlnm.Print_Area" localSheetId="7">'Aux Limpeza Ins 40% 1200m'!$A$1:$E$172</definedName>
    <definedName name="_xlnm.Print_Area" localSheetId="3">'Aux Limpeza Ins 40% 800m'!$A$1:$E$172</definedName>
    <definedName name="_xlnm.Print_Area" localSheetId="4">'Campus,Cs Est, Museu,CAUA 1 800'!$I$1:$X$135</definedName>
    <definedName name="_xlnm.Print_Area" localSheetId="8">'Campus,Cs Est, Museu,CAUA1 1200'!$I$1:$X$135</definedName>
    <definedName name="_xlnm.Print_Area" localSheetId="0">'Encarregado '!$A$1:$E$172</definedName>
    <definedName name="_xlnm.Print_Area" localSheetId="10">Equipamentos!$A$1:$I$39</definedName>
    <definedName name="_xlnm.Print_Area" localSheetId="9">'Materiais '!$B$2:$H$87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3" i="39"/>
  <c r="C26" i="37" l="1"/>
  <c r="C70" i="41"/>
  <c r="C70" i="40"/>
  <c r="C70" i="39"/>
  <c r="C70" i="38"/>
  <c r="C70" i="43"/>
  <c r="C35"/>
  <c r="C33"/>
  <c r="C69" s="1"/>
  <c r="C70" i="42"/>
  <c r="C69"/>
  <c r="C35"/>
  <c r="C33"/>
  <c r="C26"/>
  <c r="C26" i="43" s="1"/>
  <c r="C11" i="42"/>
  <c r="C11" i="43" s="1"/>
  <c r="C33" i="41"/>
  <c r="C69" s="1"/>
  <c r="C26"/>
  <c r="C11"/>
  <c r="C35" i="40"/>
  <c r="C35" i="39"/>
  <c r="C33" i="40"/>
  <c r="C69" s="1"/>
  <c r="C26"/>
  <c r="C11"/>
  <c r="C63" i="39"/>
  <c r="C26"/>
  <c r="C11"/>
  <c r="C33"/>
  <c r="C69" s="1"/>
  <c r="I28" i="34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75" i="33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C33" i="38"/>
  <c r="C69" s="1"/>
  <c r="C70" i="37"/>
  <c r="C33"/>
  <c r="I29" i="34" l="1"/>
  <c r="I30" s="1"/>
  <c r="H76" i="33"/>
  <c r="H77" s="1"/>
  <c r="AB118" i="19"/>
  <c r="AB117"/>
  <c r="AB116"/>
  <c r="AB122"/>
  <c r="AB113"/>
  <c r="AB124"/>
  <c r="AB123"/>
  <c r="Z111"/>
  <c r="AA111"/>
  <c r="AA132" s="1"/>
  <c r="P111"/>
  <c r="AB111" l="1"/>
  <c r="Z129"/>
  <c r="Z113"/>
  <c r="E135" i="43" l="1"/>
  <c r="E134"/>
  <c r="E133"/>
  <c r="E132"/>
  <c r="E131"/>
  <c r="C123"/>
  <c r="C73"/>
  <c r="C81" s="1"/>
  <c r="C63"/>
  <c r="C39"/>
  <c r="E135" i="42"/>
  <c r="E134"/>
  <c r="E133"/>
  <c r="E132"/>
  <c r="E131"/>
  <c r="C123"/>
  <c r="C73"/>
  <c r="C81" s="1"/>
  <c r="C63"/>
  <c r="C39"/>
  <c r="E135" i="41"/>
  <c r="E134"/>
  <c r="E133"/>
  <c r="E132"/>
  <c r="E131"/>
  <c r="C123"/>
  <c r="C73"/>
  <c r="C63"/>
  <c r="C39"/>
  <c r="C39" i="40"/>
  <c r="E135"/>
  <c r="E134"/>
  <c r="E133"/>
  <c r="E132"/>
  <c r="E131"/>
  <c r="C123"/>
  <c r="C63"/>
  <c r="C39" i="39"/>
  <c r="E135"/>
  <c r="E134"/>
  <c r="E133"/>
  <c r="E132"/>
  <c r="E131"/>
  <c r="C123"/>
  <c r="E135" i="38"/>
  <c r="E134"/>
  <c r="E133"/>
  <c r="E132"/>
  <c r="E131"/>
  <c r="C123"/>
  <c r="C63"/>
  <c r="C39"/>
  <c r="E135" i="37"/>
  <c r="E134"/>
  <c r="E133"/>
  <c r="E132"/>
  <c r="E131"/>
  <c r="C123"/>
  <c r="C63"/>
  <c r="C39"/>
  <c r="C92" i="38" l="1"/>
  <c r="C90"/>
  <c r="E136" i="42"/>
  <c r="E137" s="1"/>
  <c r="C140" s="1"/>
  <c r="C47" i="37"/>
  <c r="C92"/>
  <c r="C90"/>
  <c r="C69"/>
  <c r="C73" s="1"/>
  <c r="C81" s="1"/>
  <c r="C48" i="41"/>
  <c r="C92"/>
  <c r="C90"/>
  <c r="C81"/>
  <c r="C90" i="43"/>
  <c r="C92"/>
  <c r="C90" i="42"/>
  <c r="C92"/>
  <c r="E136" i="41"/>
  <c r="E137" s="1"/>
  <c r="C140" s="1"/>
  <c r="C92" i="40"/>
  <c r="C90"/>
  <c r="C92" i="39"/>
  <c r="C90"/>
  <c r="E136"/>
  <c r="E137" s="1"/>
  <c r="C140" s="1"/>
  <c r="C48" i="37"/>
  <c r="C49" s="1"/>
  <c r="E136" i="38"/>
  <c r="E137" s="1"/>
  <c r="C140" s="1"/>
  <c r="E136" i="40"/>
  <c r="E137" s="1"/>
  <c r="C140" s="1"/>
  <c r="C47" i="41"/>
  <c r="C162"/>
  <c r="E136" i="43"/>
  <c r="E137" s="1"/>
  <c r="C140" s="1"/>
  <c r="E136" i="37"/>
  <c r="C162"/>
  <c r="C48" i="43"/>
  <c r="C47"/>
  <c r="C49" s="1"/>
  <c r="C79" s="1"/>
  <c r="C162"/>
  <c r="C48" i="42"/>
  <c r="C47"/>
  <c r="C162"/>
  <c r="C73" i="40"/>
  <c r="C81" s="1"/>
  <c r="C48"/>
  <c r="C162"/>
  <c r="C47"/>
  <c r="C162" i="39"/>
  <c r="C48"/>
  <c r="C47"/>
  <c r="C73"/>
  <c r="C81" s="1"/>
  <c r="C162" i="38"/>
  <c r="C48"/>
  <c r="C73"/>
  <c r="C47"/>
  <c r="C49" i="41" l="1"/>
  <c r="C81" i="38"/>
  <c r="C49" i="40"/>
  <c r="C49" i="39"/>
  <c r="D56" s="1"/>
  <c r="C49" i="38"/>
  <c r="D60" s="1"/>
  <c r="D63" i="37"/>
  <c r="C80" s="1"/>
  <c r="C82" s="1"/>
  <c r="D57"/>
  <c r="D59"/>
  <c r="D60"/>
  <c r="C79"/>
  <c r="D61"/>
  <c r="D55"/>
  <c r="D56"/>
  <c r="D62"/>
  <c r="C88" s="1"/>
  <c r="C89" s="1"/>
  <c r="D58"/>
  <c r="D58" i="43"/>
  <c r="C79" i="41"/>
  <c r="C49" i="42"/>
  <c r="D57" s="1"/>
  <c r="D59" i="43"/>
  <c r="E137" i="37"/>
  <c r="C140" s="1"/>
  <c r="C144" s="1"/>
  <c r="C166" s="1"/>
  <c r="D60" i="43"/>
  <c r="D57"/>
  <c r="D62"/>
  <c r="C88" s="1"/>
  <c r="C89" s="1"/>
  <c r="D55"/>
  <c r="D63"/>
  <c r="C80" s="1"/>
  <c r="C82" s="1"/>
  <c r="D61"/>
  <c r="D56"/>
  <c r="D63" i="40"/>
  <c r="C80" s="1"/>
  <c r="D61"/>
  <c r="D62"/>
  <c r="D56"/>
  <c r="D55"/>
  <c r="D60"/>
  <c r="D58"/>
  <c r="D59"/>
  <c r="D57"/>
  <c r="D55" i="38"/>
  <c r="D56"/>
  <c r="D58"/>
  <c r="D61"/>
  <c r="D57"/>
  <c r="D62"/>
  <c r="D63"/>
  <c r="C80" s="1"/>
  <c r="D59"/>
  <c r="C91" i="37" l="1"/>
  <c r="C93" s="1"/>
  <c r="D60" i="39"/>
  <c r="C79"/>
  <c r="C88" i="38"/>
  <c r="C89" s="1"/>
  <c r="D63" i="39"/>
  <c r="C80" s="1"/>
  <c r="D62"/>
  <c r="C88" s="1"/>
  <c r="C89" s="1"/>
  <c r="C79" i="38"/>
  <c r="C82" s="1"/>
  <c r="D59" i="41"/>
  <c r="D63"/>
  <c r="C80" s="1"/>
  <c r="C82" s="1"/>
  <c r="D57"/>
  <c r="D58"/>
  <c r="D62"/>
  <c r="C88" s="1"/>
  <c r="C89" s="1"/>
  <c r="D55"/>
  <c r="D60"/>
  <c r="D61"/>
  <c r="D56"/>
  <c r="C91" i="43"/>
  <c r="C93" s="1"/>
  <c r="D55" i="42"/>
  <c r="D62"/>
  <c r="C88" s="1"/>
  <c r="C89" s="1"/>
  <c r="C79"/>
  <c r="D58"/>
  <c r="D60"/>
  <c r="D63"/>
  <c r="C80" s="1"/>
  <c r="C82" s="1"/>
  <c r="C163" s="1"/>
  <c r="D61"/>
  <c r="C79" i="40"/>
  <c r="C82" s="1"/>
  <c r="C88"/>
  <c r="C89" s="1"/>
  <c r="D59" i="39"/>
  <c r="D61"/>
  <c r="D55"/>
  <c r="D57"/>
  <c r="D58"/>
  <c r="C82"/>
  <c r="D59" i="42"/>
  <c r="D56"/>
  <c r="C163" i="43"/>
  <c r="C163" i="37"/>
  <c r="C163" i="41" l="1"/>
  <c r="C91"/>
  <c r="C93" s="1"/>
  <c r="C163" i="38"/>
  <c r="C91"/>
  <c r="C93" s="1"/>
  <c r="C91" i="42"/>
  <c r="C93" s="1"/>
  <c r="C91" i="40"/>
  <c r="C93" s="1"/>
  <c r="C163"/>
  <c r="C91" i="39"/>
  <c r="C93" s="1"/>
  <c r="C163"/>
  <c r="C94" i="37"/>
  <c r="C94" i="43"/>
  <c r="C94" i="41"/>
  <c r="C94" i="39" l="1"/>
  <c r="C164" s="1"/>
  <c r="C105"/>
  <c r="C104" i="37"/>
  <c r="C103"/>
  <c r="C106"/>
  <c r="C107"/>
  <c r="C105"/>
  <c r="C94" i="40"/>
  <c r="C105" s="1"/>
  <c r="C94" i="42"/>
  <c r="C107" s="1"/>
  <c r="C104" i="41"/>
  <c r="C103"/>
  <c r="C107"/>
  <c r="C106"/>
  <c r="C105"/>
  <c r="C103" i="43"/>
  <c r="C106"/>
  <c r="C104"/>
  <c r="C105"/>
  <c r="C107"/>
  <c r="C103" i="42"/>
  <c r="C104"/>
  <c r="C107" i="39"/>
  <c r="C104"/>
  <c r="C106"/>
  <c r="C103"/>
  <c r="C94" i="38"/>
  <c r="C164" i="43"/>
  <c r="C164" i="42"/>
  <c r="C164" i="41"/>
  <c r="C164" i="37"/>
  <c r="C164" i="40" l="1"/>
  <c r="C106"/>
  <c r="C103"/>
  <c r="C107"/>
  <c r="C104"/>
  <c r="C106" i="42"/>
  <c r="C105"/>
  <c r="C109" s="1"/>
  <c r="C122" s="1"/>
  <c r="C124" s="1"/>
  <c r="C165" s="1"/>
  <c r="C104" i="38"/>
  <c r="C106"/>
  <c r="C107"/>
  <c r="C103"/>
  <c r="C105"/>
  <c r="C109" i="41"/>
  <c r="C122" s="1"/>
  <c r="C124" s="1"/>
  <c r="C165" s="1"/>
  <c r="C109" i="39"/>
  <c r="C122" s="1"/>
  <c r="C124" s="1"/>
  <c r="C165" s="1"/>
  <c r="C164" i="38"/>
  <c r="C109" i="43"/>
  <c r="C122" s="1"/>
  <c r="C124" s="1"/>
  <c r="C165" s="1"/>
  <c r="C109" i="37"/>
  <c r="C122" s="1"/>
  <c r="C124" s="1"/>
  <c r="C165" s="1"/>
  <c r="C167" s="1"/>
  <c r="C109" i="40" l="1"/>
  <c r="C122" s="1"/>
  <c r="C124" s="1"/>
  <c r="C165" s="1"/>
  <c r="C109" i="38"/>
  <c r="C122" s="1"/>
  <c r="C124" s="1"/>
  <c r="C165" s="1"/>
  <c r="D150" i="37"/>
  <c r="D151" l="1"/>
  <c r="E152" l="1"/>
  <c r="D155" l="1"/>
  <c r="D154"/>
  <c r="D153"/>
  <c r="D156" l="1"/>
  <c r="C168" s="1"/>
  <c r="C169" s="1"/>
  <c r="O104" i="30" l="1"/>
  <c r="M80"/>
  <c r="M56"/>
  <c r="N56" s="1"/>
  <c r="M31"/>
  <c r="M7"/>
  <c r="O98"/>
  <c r="M74"/>
  <c r="M50"/>
  <c r="M25"/>
  <c r="O86"/>
  <c r="M38"/>
  <c r="O92"/>
  <c r="M68"/>
  <c r="M44"/>
  <c r="M19"/>
  <c r="M62"/>
  <c r="N62" s="1"/>
  <c r="M13"/>
  <c r="O104" i="19"/>
  <c r="O92"/>
  <c r="M80"/>
  <c r="M68"/>
  <c r="M56"/>
  <c r="M44"/>
  <c r="M31"/>
  <c r="M19"/>
  <c r="M7"/>
  <c r="N7" s="1"/>
  <c r="O98"/>
  <c r="O86"/>
  <c r="M74"/>
  <c r="M62"/>
  <c r="M50"/>
  <c r="N50" s="1"/>
  <c r="M38"/>
  <c r="M25"/>
  <c r="M13"/>
  <c r="P114" i="30" l="1"/>
  <c r="X114" s="1"/>
  <c r="P113"/>
  <c r="X113" s="1"/>
  <c r="P112"/>
  <c r="P111"/>
  <c r="P126"/>
  <c r="X126" s="1"/>
  <c r="P125"/>
  <c r="X125" s="1"/>
  <c r="P124"/>
  <c r="X124" s="1"/>
  <c r="P123"/>
  <c r="X123" s="1"/>
  <c r="P122"/>
  <c r="X122" s="1"/>
  <c r="P120"/>
  <c r="X120" s="1"/>
  <c r="P119"/>
  <c r="X119" s="1"/>
  <c r="P118"/>
  <c r="X118" s="1"/>
  <c r="P117"/>
  <c r="X117" s="1"/>
  <c r="P116"/>
  <c r="X116" s="1"/>
  <c r="P115"/>
  <c r="X115" s="1"/>
  <c r="N105"/>
  <c r="P127" s="1"/>
  <c r="X127" s="1"/>
  <c r="N104"/>
  <c r="N99"/>
  <c r="P131" s="1"/>
  <c r="N98"/>
  <c r="N93"/>
  <c r="P130" s="1"/>
  <c r="N92"/>
  <c r="N87"/>
  <c r="P129" s="1"/>
  <c r="N86"/>
  <c r="G124"/>
  <c r="G117"/>
  <c r="G116"/>
  <c r="G113"/>
  <c r="X112"/>
  <c r="F105"/>
  <c r="F104"/>
  <c r="U99"/>
  <c r="F99"/>
  <c r="U98"/>
  <c r="F98"/>
  <c r="U93"/>
  <c r="F93"/>
  <c r="U92"/>
  <c r="F92"/>
  <c r="U87"/>
  <c r="F87"/>
  <c r="U86"/>
  <c r="F86"/>
  <c r="T20"/>
  <c r="U20" s="1"/>
  <c r="E20"/>
  <c r="E39" s="1"/>
  <c r="T19"/>
  <c r="T38" s="1"/>
  <c r="T44" s="1"/>
  <c r="U44" s="1"/>
  <c r="E19"/>
  <c r="F19" s="1"/>
  <c r="U8"/>
  <c r="F8"/>
  <c r="U7"/>
  <c r="F7"/>
  <c r="P132" l="1"/>
  <c r="X111"/>
  <c r="F9"/>
  <c r="E111" s="1"/>
  <c r="G111" s="1"/>
  <c r="U19"/>
  <c r="U21" s="1"/>
  <c r="E38"/>
  <c r="E44" s="1"/>
  <c r="F44" s="1"/>
  <c r="U9"/>
  <c r="X129"/>
  <c r="F39"/>
  <c r="E45"/>
  <c r="T50"/>
  <c r="U38"/>
  <c r="T39"/>
  <c r="E50"/>
  <c r="F20"/>
  <c r="F21" s="1"/>
  <c r="F38"/>
  <c r="X131"/>
  <c r="X130"/>
  <c r="P115" i="19"/>
  <c r="X115" s="1"/>
  <c r="P114"/>
  <c r="I32" i="34" l="1"/>
  <c r="H79" i="33"/>
  <c r="X132" i="30"/>
  <c r="T68"/>
  <c r="U50"/>
  <c r="E68"/>
  <c r="F50"/>
  <c r="U39"/>
  <c r="U40" s="1"/>
  <c r="T45"/>
  <c r="F40"/>
  <c r="F45"/>
  <c r="F46" s="1"/>
  <c r="E51"/>
  <c r="X111" i="19"/>
  <c r="C141" i="41" l="1"/>
  <c r="C141" i="43"/>
  <c r="C141" i="42"/>
  <c r="C142" i="41"/>
  <c r="C142" i="42"/>
  <c r="C142" i="43"/>
  <c r="U68" i="30"/>
  <c r="T74"/>
  <c r="E69"/>
  <c r="F51"/>
  <c r="F52" s="1"/>
  <c r="E120" s="1"/>
  <c r="G120" s="1"/>
  <c r="U45"/>
  <c r="U46" s="1"/>
  <c r="T51"/>
  <c r="F68"/>
  <c r="E74"/>
  <c r="C144" i="42" l="1"/>
  <c r="C166" s="1"/>
  <c r="C167" s="1"/>
  <c r="C144" i="43"/>
  <c r="C166" s="1"/>
  <c r="C167" s="1"/>
  <c r="C144" i="41"/>
  <c r="C166" s="1"/>
  <c r="C167" s="1"/>
  <c r="D150" s="1"/>
  <c r="D151" s="1"/>
  <c r="E75" i="30"/>
  <c r="F69"/>
  <c r="F70" s="1"/>
  <c r="E122" s="1"/>
  <c r="G122" s="1"/>
  <c r="T69"/>
  <c r="U51"/>
  <c r="U52" s="1"/>
  <c r="T80"/>
  <c r="U74"/>
  <c r="E80"/>
  <c r="F74"/>
  <c r="E152" i="41" l="1"/>
  <c r="D155" s="1"/>
  <c r="D150" i="43"/>
  <c r="D151" s="1"/>
  <c r="E152" s="1"/>
  <c r="D150" i="42"/>
  <c r="D151" s="1"/>
  <c r="E152" s="1"/>
  <c r="V86" i="30"/>
  <c r="U80"/>
  <c r="F75"/>
  <c r="F76" s="1"/>
  <c r="E123" s="1"/>
  <c r="G123" s="1"/>
  <c r="E81"/>
  <c r="G86"/>
  <c r="F80"/>
  <c r="T75"/>
  <c r="U69"/>
  <c r="U70" s="1"/>
  <c r="D154" i="41" l="1"/>
  <c r="D153"/>
  <c r="D154" i="42"/>
  <c r="D155"/>
  <c r="D153"/>
  <c r="D154" i="43"/>
  <c r="D153"/>
  <c r="D155"/>
  <c r="V92" i="30"/>
  <c r="W86"/>
  <c r="U75"/>
  <c r="U76" s="1"/>
  <c r="T81"/>
  <c r="F81"/>
  <c r="F82" s="1"/>
  <c r="G87"/>
  <c r="G92"/>
  <c r="H86"/>
  <c r="D156" i="41" l="1"/>
  <c r="C168" s="1"/>
  <c r="C169" s="1"/>
  <c r="M39" i="30" s="1"/>
  <c r="D156" i="42"/>
  <c r="C168" s="1"/>
  <c r="C169" s="1"/>
  <c r="M26" i="30" s="1"/>
  <c r="D156" i="43"/>
  <c r="C168" s="1"/>
  <c r="C169" s="1"/>
  <c r="M32" i="30" s="1"/>
  <c r="M69"/>
  <c r="G98"/>
  <c r="H92"/>
  <c r="V87"/>
  <c r="U81"/>
  <c r="U82" s="1"/>
  <c r="G93"/>
  <c r="H87"/>
  <c r="H88" s="1"/>
  <c r="E129" s="1"/>
  <c r="G129" s="1"/>
  <c r="V98"/>
  <c r="W98" s="1"/>
  <c r="W92"/>
  <c r="M20" l="1"/>
  <c r="M63"/>
  <c r="N63" s="1"/>
  <c r="O93"/>
  <c r="M51"/>
  <c r="M75"/>
  <c r="M45"/>
  <c r="O99"/>
  <c r="M14"/>
  <c r="M81"/>
  <c r="O87"/>
  <c r="M8"/>
  <c r="M57"/>
  <c r="N57" s="1"/>
  <c r="O105"/>
  <c r="V93"/>
  <c r="W87"/>
  <c r="W88" s="1"/>
  <c r="G99"/>
  <c r="H93"/>
  <c r="H94" s="1"/>
  <c r="G104"/>
  <c r="H104" s="1"/>
  <c r="H98"/>
  <c r="W93" l="1"/>
  <c r="W94" s="1"/>
  <c r="V99"/>
  <c r="W99" s="1"/>
  <c r="W100" s="1"/>
  <c r="H99"/>
  <c r="H100" s="1"/>
  <c r="E131" s="1"/>
  <c r="G131" s="1"/>
  <c r="G132" s="1"/>
  <c r="G134" s="1"/>
  <c r="G105"/>
  <c r="H105" s="1"/>
  <c r="H106" s="1"/>
  <c r="E127" s="1"/>
  <c r="P98" l="1"/>
  <c r="N80"/>
  <c r="N31"/>
  <c r="P104"/>
  <c r="P86"/>
  <c r="N38"/>
  <c r="N13"/>
  <c r="P92"/>
  <c r="N74"/>
  <c r="N50"/>
  <c r="N25"/>
  <c r="N19"/>
  <c r="N68"/>
  <c r="N44"/>
  <c r="N7"/>
  <c r="N25" i="19"/>
  <c r="P123"/>
  <c r="X123" s="1"/>
  <c r="X125"/>
  <c r="X126"/>
  <c r="P116"/>
  <c r="X116" s="1"/>
  <c r="X114"/>
  <c r="P113"/>
  <c r="X113" s="1"/>
  <c r="P112"/>
  <c r="X112" s="1"/>
  <c r="P117" l="1"/>
  <c r="X117" s="1"/>
  <c r="P118"/>
  <c r="X118" s="1"/>
  <c r="P119"/>
  <c r="X119" s="1"/>
  <c r="P120"/>
  <c r="X120" s="1"/>
  <c r="P122"/>
  <c r="X122" s="1"/>
  <c r="P124"/>
  <c r="X124" s="1"/>
  <c r="N104" l="1"/>
  <c r="N86"/>
  <c r="N105"/>
  <c r="P127" s="1"/>
  <c r="N87"/>
  <c r="N99"/>
  <c r="P131" s="1"/>
  <c r="X131" s="1"/>
  <c r="N98"/>
  <c r="N93"/>
  <c r="P130" s="1"/>
  <c r="X130" s="1"/>
  <c r="N92"/>
  <c r="P129" l="1"/>
  <c r="X129" s="1"/>
  <c r="X127"/>
  <c r="P132" l="1"/>
  <c r="X132"/>
  <c r="G124"/>
  <c r="G117"/>
  <c r="G116"/>
  <c r="G113"/>
  <c r="F105"/>
  <c r="F104"/>
  <c r="U99"/>
  <c r="F99"/>
  <c r="U98"/>
  <c r="F98"/>
  <c r="U93"/>
  <c r="F93"/>
  <c r="U92"/>
  <c r="F92"/>
  <c r="U87"/>
  <c r="F87"/>
  <c r="U86"/>
  <c r="F86"/>
  <c r="T20"/>
  <c r="T39" s="1"/>
  <c r="E20"/>
  <c r="E39" s="1"/>
  <c r="T19"/>
  <c r="U19" s="1"/>
  <c r="E19"/>
  <c r="F19" s="1"/>
  <c r="U8"/>
  <c r="F8"/>
  <c r="U7"/>
  <c r="F7"/>
  <c r="H78" i="33" l="1"/>
  <c r="I31" i="34"/>
  <c r="U9" i="19"/>
  <c r="F9"/>
  <c r="E111" s="1"/>
  <c r="G111" s="1"/>
  <c r="T45"/>
  <c r="U39"/>
  <c r="F39"/>
  <c r="E45"/>
  <c r="F20"/>
  <c r="F21" s="1"/>
  <c r="U20"/>
  <c r="U21" s="1"/>
  <c r="E38"/>
  <c r="T38"/>
  <c r="C142" i="39" l="1"/>
  <c r="C142" i="40"/>
  <c r="C142" i="38"/>
  <c r="C141" i="40"/>
  <c r="C144" s="1"/>
  <c r="C166" s="1"/>
  <c r="C167" s="1"/>
  <c r="C141" i="39"/>
  <c r="C141" i="38"/>
  <c r="N26" i="30"/>
  <c r="N27" s="1"/>
  <c r="E50" i="19"/>
  <c r="F38"/>
  <c r="F40" s="1"/>
  <c r="E44"/>
  <c r="F44" s="1"/>
  <c r="F45"/>
  <c r="E51"/>
  <c r="U45"/>
  <c r="T51"/>
  <c r="T44"/>
  <c r="U38"/>
  <c r="U40" s="1"/>
  <c r="C144" i="39" l="1"/>
  <c r="C166" s="1"/>
  <c r="C167" s="1"/>
  <c r="D150" s="1"/>
  <c r="C144" i="38"/>
  <c r="C166" s="1"/>
  <c r="C167" s="1"/>
  <c r="D150" s="1"/>
  <c r="D151" s="1"/>
  <c r="D150" i="40"/>
  <c r="D151" s="1"/>
  <c r="E152" s="1"/>
  <c r="M114" i="30"/>
  <c r="O114" s="1"/>
  <c r="N81"/>
  <c r="N82" s="1"/>
  <c r="N69"/>
  <c r="N70" s="1"/>
  <c r="M122" s="1"/>
  <c r="O122" s="1"/>
  <c r="N8"/>
  <c r="N9" s="1"/>
  <c r="M111" s="1"/>
  <c r="O111" s="1"/>
  <c r="P105"/>
  <c r="P106" s="1"/>
  <c r="M127" s="1"/>
  <c r="O127" s="1"/>
  <c r="P93"/>
  <c r="P94" s="1"/>
  <c r="M130" s="1"/>
  <c r="O130" s="1"/>
  <c r="N45"/>
  <c r="N46" s="1"/>
  <c r="M117" s="1"/>
  <c r="O117" s="1"/>
  <c r="P99"/>
  <c r="P100" s="1"/>
  <c r="M131" s="1"/>
  <c r="O131" s="1"/>
  <c r="N75"/>
  <c r="N76" s="1"/>
  <c r="M123" s="1"/>
  <c r="O123" s="1"/>
  <c r="P87"/>
  <c r="P88" s="1"/>
  <c r="M129" s="1"/>
  <c r="O129" s="1"/>
  <c r="N51"/>
  <c r="N52" s="1"/>
  <c r="M118" s="1"/>
  <c r="O118" s="1"/>
  <c r="N39"/>
  <c r="N40" s="1"/>
  <c r="M116" s="1"/>
  <c r="O116" s="1"/>
  <c r="N14"/>
  <c r="N15" s="1"/>
  <c r="M112" s="1"/>
  <c r="O112" s="1"/>
  <c r="N20"/>
  <c r="N21" s="1"/>
  <c r="M113" s="1"/>
  <c r="O113" s="1"/>
  <c r="N19" i="19"/>
  <c r="T50"/>
  <c r="U44"/>
  <c r="U46" s="1"/>
  <c r="E69"/>
  <c r="F51"/>
  <c r="E68"/>
  <c r="F50"/>
  <c r="U51"/>
  <c r="T69"/>
  <c r="F46"/>
  <c r="E152" i="38" l="1"/>
  <c r="D155" s="1"/>
  <c r="D153" i="40"/>
  <c r="D156" s="1"/>
  <c r="C168" s="1"/>
  <c r="C169" s="1"/>
  <c r="D155"/>
  <c r="D154"/>
  <c r="D151" i="39"/>
  <c r="E152" s="1"/>
  <c r="N32" i="30"/>
  <c r="N33" s="1"/>
  <c r="M115" s="1"/>
  <c r="O115" s="1"/>
  <c r="N64"/>
  <c r="M120" s="1"/>
  <c r="O120" s="1"/>
  <c r="M119"/>
  <c r="O119" s="1"/>
  <c r="N58"/>
  <c r="M124"/>
  <c r="O124" s="1"/>
  <c r="M126"/>
  <c r="O126" s="1"/>
  <c r="M125"/>
  <c r="O125" s="1"/>
  <c r="N44" i="19"/>
  <c r="N13"/>
  <c r="N74"/>
  <c r="N56"/>
  <c r="N31"/>
  <c r="N68"/>
  <c r="N80"/>
  <c r="N38"/>
  <c r="N62"/>
  <c r="P86"/>
  <c r="T75"/>
  <c r="U69"/>
  <c r="E75"/>
  <c r="F69"/>
  <c r="T68"/>
  <c r="U50"/>
  <c r="U52" s="1"/>
  <c r="F52"/>
  <c r="E120" s="1"/>
  <c r="G120" s="1"/>
  <c r="F68"/>
  <c r="E74"/>
  <c r="D153" i="38" l="1"/>
  <c r="D154"/>
  <c r="M63" i="19"/>
  <c r="N63" s="1"/>
  <c r="N64" s="1"/>
  <c r="M120" s="1"/>
  <c r="O120" s="1"/>
  <c r="M32"/>
  <c r="N32" s="1"/>
  <c r="N33" s="1"/>
  <c r="M115" s="1"/>
  <c r="O115" s="1"/>
  <c r="D155" i="39"/>
  <c r="D154"/>
  <c r="D153"/>
  <c r="O132" i="30"/>
  <c r="O133" s="1"/>
  <c r="F70" i="19"/>
  <c r="E122" s="1"/>
  <c r="G122" s="1"/>
  <c r="E81"/>
  <c r="F75"/>
  <c r="F74"/>
  <c r="E80"/>
  <c r="U68"/>
  <c r="U70" s="1"/>
  <c r="T74"/>
  <c r="U75"/>
  <c r="T81"/>
  <c r="D156" i="39" l="1"/>
  <c r="C168" s="1"/>
  <c r="C169" s="1"/>
  <c r="M26" i="19" s="1"/>
  <c r="N26" s="1"/>
  <c r="N27" s="1"/>
  <c r="M114" s="1"/>
  <c r="O114" s="1"/>
  <c r="F76"/>
  <c r="E123" s="1"/>
  <c r="G123" s="1"/>
  <c r="F81"/>
  <c r="G87"/>
  <c r="V87"/>
  <c r="U81"/>
  <c r="F80"/>
  <c r="F82" s="1"/>
  <c r="G86"/>
  <c r="T80"/>
  <c r="U74"/>
  <c r="U76" s="1"/>
  <c r="G92" l="1"/>
  <c r="H86"/>
  <c r="G93"/>
  <c r="H87"/>
  <c r="U80"/>
  <c r="U82" s="1"/>
  <c r="V86"/>
  <c r="V93"/>
  <c r="W87"/>
  <c r="G98" l="1"/>
  <c r="H92"/>
  <c r="V92"/>
  <c r="W86"/>
  <c r="W88" s="1"/>
  <c r="V99"/>
  <c r="W99" s="1"/>
  <c r="W93"/>
  <c r="H88"/>
  <c r="E129" s="1"/>
  <c r="G129" s="1"/>
  <c r="G99"/>
  <c r="H93"/>
  <c r="H94" l="1"/>
  <c r="G104"/>
  <c r="H104" s="1"/>
  <c r="H98"/>
  <c r="G105"/>
  <c r="H105" s="1"/>
  <c r="H99"/>
  <c r="V98"/>
  <c r="W98" s="1"/>
  <c r="W100" s="1"/>
  <c r="W92"/>
  <c r="W94" s="1"/>
  <c r="P92"/>
  <c r="H100" l="1"/>
  <c r="E131" s="1"/>
  <c r="G131" s="1"/>
  <c r="G132" s="1"/>
  <c r="G134" s="1"/>
  <c r="H106"/>
  <c r="E127" s="1"/>
  <c r="P98"/>
  <c r="P104"/>
  <c r="D156" i="38"/>
  <c r="C168" s="1"/>
  <c r="C169" s="1"/>
  <c r="M69" i="19" l="1"/>
  <c r="N69" s="1"/>
  <c r="N70" s="1"/>
  <c r="M122" s="1"/>
  <c r="O122" s="1"/>
  <c r="M39"/>
  <c r="N39" s="1"/>
  <c r="N40" s="1"/>
  <c r="M116" s="1"/>
  <c r="O116" s="1"/>
  <c r="O87"/>
  <c r="P87" s="1"/>
  <c r="P88" s="1"/>
  <c r="M129" s="1"/>
  <c r="O129" s="1"/>
  <c r="M75"/>
  <c r="N75" s="1"/>
  <c r="N76" s="1"/>
  <c r="M123" s="1"/>
  <c r="O123" s="1"/>
  <c r="O93"/>
  <c r="P93" s="1"/>
  <c r="P94" s="1"/>
  <c r="M130" s="1"/>
  <c r="O130" s="1"/>
  <c r="M45"/>
  <c r="N45" s="1"/>
  <c r="N46" s="1"/>
  <c r="M117" s="1"/>
  <c r="O117" s="1"/>
  <c r="O99"/>
  <c r="P99" s="1"/>
  <c r="P100" s="1"/>
  <c r="M131" s="1"/>
  <c r="O131" s="1"/>
  <c r="O105"/>
  <c r="P105" s="1"/>
  <c r="P106" s="1"/>
  <c r="M127" s="1"/>
  <c r="O127" s="1"/>
  <c r="M20"/>
  <c r="N20" s="1"/>
  <c r="N21" s="1"/>
  <c r="M113" s="1"/>
  <c r="O113" s="1"/>
  <c r="M8"/>
  <c r="N8" s="1"/>
  <c r="N9" s="1"/>
  <c r="M111" s="1"/>
  <c r="O111" s="1"/>
  <c r="M14"/>
  <c r="N14" s="1"/>
  <c r="N15" s="1"/>
  <c r="M112" s="1"/>
  <c r="O112" s="1"/>
  <c r="M51"/>
  <c r="N51" s="1"/>
  <c r="N52" s="1"/>
  <c r="M118" s="1"/>
  <c r="O118" s="1"/>
  <c r="M57"/>
  <c r="N57" s="1"/>
  <c r="M81"/>
  <c r="N81" s="1"/>
  <c r="N82" s="1"/>
  <c r="M124" l="1"/>
  <c r="O124" s="1"/>
  <c r="M126"/>
  <c r="O126" s="1"/>
  <c r="M125"/>
  <c r="O125" s="1"/>
  <c r="M119"/>
  <c r="O119" s="1"/>
  <c r="N58"/>
  <c r="O132" l="1"/>
  <c r="O133" s="1"/>
</calcChain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<sst xmlns="http://schemas.openxmlformats.org/spreadsheetml/2006/main" count="3030" uniqueCount="459">
  <si>
    <t>MÃO DE OBRA</t>
  </si>
  <si>
    <t>(2) PREÇO HOMEM-MÊS (R$)</t>
  </si>
  <si>
    <t>Servente</t>
  </si>
  <si>
    <t>TOTAL</t>
  </si>
  <si>
    <t>ÁREA INTERNA</t>
  </si>
  <si>
    <t>Pisos frios</t>
  </si>
  <si>
    <t>Encarregado</t>
  </si>
  <si>
    <t>(1 / 600)</t>
  </si>
  <si>
    <t>Laboratórios</t>
  </si>
  <si>
    <t>(1 / 330)</t>
  </si>
  <si>
    <t>(1 / 1350)</t>
  </si>
  <si>
    <t>Almoxarifado e Galpões</t>
  </si>
  <si>
    <t>Oficinas</t>
  </si>
  <si>
    <t>Áreas livres (Hall ou Salão)</t>
  </si>
  <si>
    <t>(1 / 400)</t>
  </si>
  <si>
    <t>Pisos adjacentes (calçadas)</t>
  </si>
  <si>
    <t>Varrição de passeios e arruamentos</t>
  </si>
  <si>
    <t>ÁREA EXTERNA</t>
  </si>
  <si>
    <t>(1 / 800)</t>
  </si>
  <si>
    <t>(1 / 1200)</t>
  </si>
  <si>
    <t>Pátios e áreas verdes baixa frequencia</t>
  </si>
  <si>
    <t>Face externa com situação de risco</t>
  </si>
  <si>
    <t>(1 / 110)</t>
  </si>
  <si>
    <t>1 / (30 x 110)</t>
  </si>
  <si>
    <t>1 / (30 x 1200)</t>
  </si>
  <si>
    <t>1  / (30 x 1200)</t>
  </si>
  <si>
    <t>1 / (30 x 400)</t>
  </si>
  <si>
    <t>1 / (30 x 800)</t>
  </si>
  <si>
    <t>1 / (30 x 1350)</t>
  </si>
  <si>
    <t>1 (30 x 330)</t>
  </si>
  <si>
    <t>1 / (30 x 600)</t>
  </si>
  <si>
    <t>1 / (30 x 220)</t>
  </si>
  <si>
    <t>(1 / 220)</t>
  </si>
  <si>
    <t>(2) FREQUÊNCIA MÊS (HORAS)</t>
  </si>
  <si>
    <t>(3) JORNADA DE TRABALHO MÊS (HORAS)</t>
  </si>
  <si>
    <t>(4) (1X2X3) KI</t>
  </si>
  <si>
    <t>ADAP</t>
  </si>
  <si>
    <t>SUBTOTAL</t>
  </si>
  <si>
    <t>1/191,40</t>
  </si>
  <si>
    <t>TIPO DE ÁREA</t>
  </si>
  <si>
    <t>(2) ÁREA (m2)</t>
  </si>
  <si>
    <t>(1 X 2) SUBTOTAL (R$)</t>
  </si>
  <si>
    <t>Pisos Frios</t>
  </si>
  <si>
    <t>Almoxarifado e galpões</t>
  </si>
  <si>
    <t>Oficina</t>
  </si>
  <si>
    <t>Áreas livres (hall ou salão)</t>
  </si>
  <si>
    <t>Varrição de Passeios e arruamentos</t>
  </si>
  <si>
    <t>Pátios e áreas verdes média frequência</t>
  </si>
  <si>
    <t>Face Externa com situação de risco</t>
  </si>
  <si>
    <t>Face Externa sem situação de risco</t>
  </si>
  <si>
    <t>Face Interna</t>
  </si>
  <si>
    <t>Face interna</t>
  </si>
  <si>
    <t>Face externa sem situação de risco</t>
  </si>
  <si>
    <t>-</t>
  </si>
  <si>
    <t>ESQUADRIA</t>
  </si>
  <si>
    <t>CENTRO ADMINISTRATIVO</t>
  </si>
  <si>
    <t>UFAM (VALORES DE PRODUTIVIDADE CONFORME TERMO DE REFERÊNCIA)</t>
  </si>
  <si>
    <t>Item</t>
  </si>
  <si>
    <r>
      <t>(1) PRODUTIVIDADE (1/M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</si>
  <si>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(1 X 2)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</si>
  <si>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(5) PREÇO HOMEM-MÊS (R$)</t>
  </si>
  <si>
    <r>
      <t>(4 X 5)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</si>
  <si>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(1) PREÇO MENSAL UNITÁRIO (R$/m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</si>
  <si>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CAMPUS</t>
  </si>
  <si>
    <t>1 (30 x 600)</t>
  </si>
  <si>
    <t>0/191,40</t>
  </si>
  <si>
    <t>Área de fachada envideaçada</t>
  </si>
  <si>
    <t>1/1.148,4</t>
  </si>
  <si>
    <t>Área de fachada envidraçada</t>
  </si>
  <si>
    <t>Pátios e áreas verdes baixa frequência</t>
  </si>
  <si>
    <t>Banheiros</t>
  </si>
  <si>
    <t>Valor</t>
  </si>
  <si>
    <t>Total</t>
  </si>
  <si>
    <t>SEBRAE</t>
  </si>
  <si>
    <t>INCRA</t>
  </si>
  <si>
    <t>FGTS</t>
  </si>
  <si>
    <t>qte</t>
  </si>
  <si>
    <t>Vr. Unitario</t>
  </si>
  <si>
    <t>Insumos Diversos</t>
  </si>
  <si>
    <t>Custos Indiretos, Tributos e Lucro</t>
  </si>
  <si>
    <t>Pisos Acarpetados</t>
  </si>
  <si>
    <t>METRAGEM</t>
  </si>
  <si>
    <t>800 M²</t>
  </si>
  <si>
    <t>1.800 M²</t>
  </si>
  <si>
    <t>1 / (30 x 1800)</t>
  </si>
  <si>
    <t>(1 / 1800)</t>
  </si>
  <si>
    <t>1 / (30 x 300)</t>
  </si>
  <si>
    <t>(1 / 300)</t>
  </si>
  <si>
    <t>300 M²</t>
  </si>
  <si>
    <t>130 M²</t>
  </si>
  <si>
    <t>(1 / 130)</t>
  </si>
  <si>
    <t>1/188,76</t>
  </si>
  <si>
    <t>1/1132,60</t>
  </si>
  <si>
    <t>TOTAL MENSAL</t>
  </si>
  <si>
    <t>1 / (4 x 130)</t>
  </si>
  <si>
    <t>360 M²</t>
  </si>
  <si>
    <t>(1 / 360)</t>
  </si>
  <si>
    <t>(1 / 1500)</t>
  </si>
  <si>
    <t>(1 / 1000)</t>
  </si>
  <si>
    <t>200 M²</t>
  </si>
  <si>
    <t>(1 / 200)</t>
  </si>
  <si>
    <t>6.000 M²</t>
  </si>
  <si>
    <t>1.000 M²</t>
  </si>
  <si>
    <t>1.200 M²</t>
  </si>
  <si>
    <t>1.500 M²</t>
  </si>
  <si>
    <t>1 / (30 x 6000)</t>
  </si>
  <si>
    <t>(1 / 6000)</t>
  </si>
  <si>
    <t xml:space="preserve">TOTAL ANUAL </t>
  </si>
  <si>
    <t>Laboratórios - Insalubridade 40%</t>
  </si>
  <si>
    <t>Banheiros - Insalubridade 40%</t>
  </si>
  <si>
    <t xml:space="preserve">Disco para granito e piso porcelanato – limpeza </t>
  </si>
  <si>
    <t xml:space="preserve">Disco polidor para piso vinílico </t>
  </si>
  <si>
    <t xml:space="preserve">Escova de mão </t>
  </si>
  <si>
    <t>Esfregão mop de algodão para limpeza de pisos com haste americana e cabo de alumínio 1,40 mt</t>
  </si>
  <si>
    <t>Papel higiênico CELULOSE VIRGEM, folha dupla picotada, de alta qualidade e maciez, do tipo neve, scott, blanc ou similar, rolo com 300 m. Pac com 8 rolos</t>
  </si>
  <si>
    <t>pacote</t>
  </si>
  <si>
    <t xml:space="preserve">Refil mop pó 40 cm </t>
  </si>
  <si>
    <t xml:space="preserve">Rodo com 2 borrachas - 40cm de largura, com cabo </t>
  </si>
  <si>
    <t>rolo</t>
  </si>
  <si>
    <t xml:space="preserve">Vassoura de pelo, 40cm de largura, com cabo </t>
  </si>
  <si>
    <t xml:space="preserve">Vassoura de pelo 60cm de largura, com cabo </t>
  </si>
  <si>
    <t xml:space="preserve">Vassoura de piaçava, 40cm, com cabo </t>
  </si>
  <si>
    <t>Balde espremedor, tipo doblo ou similar, polipropileno, aço, com rodas, capacidade de 24L</t>
  </si>
  <si>
    <t>Escada doméstica, alumínio, número degraus 5, revestimento degraus tapete antiderrapante, tipo pintura epóxi, tipo degraus articuláveis</t>
  </si>
  <si>
    <t>Par de meia em algodão, tipo cano longo, de boa qualidade. Marca Trifill, Lupo ou similar.</t>
  </si>
  <si>
    <t>Crachá (confeccionado em cartão de PVC, medindo 85 x 50 mm equipado de presilha, tipo jacaré).</t>
  </si>
  <si>
    <t>Limpador multiuso (para limpeza de móveis e equipamentos em geral) biodegradável 5 litros</t>
  </si>
  <si>
    <t>Saco plástico para lixo com capacidade para duzentos litros, rolo com 100 unidades</t>
  </si>
  <si>
    <t>Relógio de ponto eletrônico com leitura biométrica com bateria interna, incluso software para controle de ponto, treinamento, instalação, configuração do equipamento e bobina de papel. Homologado pelo Ministério do Trabalho, segundo norma 1510/2009, marca Henry ou similar</t>
  </si>
  <si>
    <t>Papel toalha branco, 100% CELULOSE VIRGEM, com duas dobras, de alta absorção e de alta qualidade, toaletes (pacotes com 1000 folhas)</t>
  </si>
  <si>
    <t>1 /(30 x 800)</t>
  </si>
  <si>
    <t>1 /(30 x 360)</t>
  </si>
  <si>
    <t>1 /(30 x 1500)</t>
  </si>
  <si>
    <t>1 /(30 x 1200)</t>
  </si>
  <si>
    <t>1 /(30 x 1000)</t>
  </si>
  <si>
    <t>1 /(30 x 200)</t>
  </si>
  <si>
    <t>PLANILHA DE CUSTOS E FORMAÇÃO DE PREÇOS</t>
  </si>
  <si>
    <t>Custos Indiretos</t>
  </si>
  <si>
    <t>Lucro</t>
  </si>
  <si>
    <t>Tributos</t>
  </si>
  <si>
    <t>Carro de limpeza multifuncional (comprimento 114 cm, largura 48 cm, altura 96cm), aplicação limpeza industrial e comercial, com estrutura em polipropileno, bolsa em vinil capacidade para 90 litros com tampa, com 4 rodízios.</t>
  </si>
  <si>
    <t>Botas, cano curto, solado antideslizante e antiderrapante, para atividades com água, hidro-repelente, com sistema de elástico, antibactérias.</t>
  </si>
  <si>
    <t xml:space="preserve">Colete segurança refletivo </t>
  </si>
  <si>
    <t>Varredeira Manual de Piso com recolhedor VPV 920 VONDER ou similar (produtividade aproximada 3.680m²/hora) - 2 escovas dianteiras</t>
  </si>
  <si>
    <t>Limpador Vidro, cabo alumínio rosqueado, material base polipropileno, comprimento cabo 1,50m, tipo mini lock, comprimento base 26 cm, fixador na base para fixar panos ou fibras</t>
  </si>
  <si>
    <t>Extensão telescópica - 6 metros para utilizar como extensor do limpador de vidro, modelo EX600 Bralimpia ou similar</t>
  </si>
  <si>
    <t>Coletor lixo, polietileno anti-raios ultravioleta, resistente a impacto, com tampa, 240 litros</t>
  </si>
  <si>
    <t>Laboratórios - Insalubridade 20%</t>
  </si>
  <si>
    <t>N° ASG's (Área/ Produt. Mínima 800 m²)</t>
  </si>
  <si>
    <t>N° Encarregados (Área/ Produt. Mínima 800 m²)</t>
  </si>
  <si>
    <t>Item 1 - Campus Senador Arthur Virgilio Filho/Casa Do Estudante/ Museu Amazônico/ CAUA 1  - Fundação Universidade do Amazonas</t>
  </si>
  <si>
    <t>1200 M²</t>
  </si>
  <si>
    <t>450 M²</t>
  </si>
  <si>
    <t>1 /(30 x 450)</t>
  </si>
  <si>
    <t>(1 / 450)</t>
  </si>
  <si>
    <t>2500 M²</t>
  </si>
  <si>
    <t>1 /(30 x 2500)</t>
  </si>
  <si>
    <t>(1 / 2500)</t>
  </si>
  <si>
    <t>1 /(30 x 1800)</t>
  </si>
  <si>
    <t>2.700 M²</t>
  </si>
  <si>
    <t>1 / (30 x 2700)</t>
  </si>
  <si>
    <t>(1 / 2700)</t>
  </si>
  <si>
    <t>9.000 M²</t>
  </si>
  <si>
    <t>1 / (30 x 9000)</t>
  </si>
  <si>
    <t>(1 / 9000)</t>
  </si>
  <si>
    <t>160 M²</t>
  </si>
  <si>
    <t>1 / (4 x 160)</t>
  </si>
  <si>
    <t>(1 / 160)</t>
  </si>
  <si>
    <t>380 M²</t>
  </si>
  <si>
    <t>1 / (30 x 380)</t>
  </si>
  <si>
    <t>(1 / 380)</t>
  </si>
  <si>
    <t>N° ASG's (Área/ Produt. Máxima 1200 m²)</t>
  </si>
  <si>
    <t>N° Encarregados (Área/ Produt. Máxima 1200 m²)</t>
  </si>
  <si>
    <t>PRODUTIVIDADE MÍNIMA 800 METROS</t>
  </si>
  <si>
    <t>PRODUTIVIDADE MÁXIMA 1.200 METROS</t>
  </si>
  <si>
    <t>Pátios e áreas verdes alta frequência</t>
  </si>
  <si>
    <t xml:space="preserve">Avental de Limpeza descartável, pacote com 10 unidades </t>
  </si>
  <si>
    <t>Máscaras descartáveis pacote com 100 unidades</t>
  </si>
  <si>
    <t xml:space="preserve">Óculos de Segurança </t>
  </si>
  <si>
    <t>Touca de proteção pacote 100 unidades</t>
  </si>
  <si>
    <t>Aux. Limpeza</t>
  </si>
  <si>
    <t>Nº Processo: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</si>
  <si>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</si>
  <si>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</si>
  <si>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</si>
  <si>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</si>
  <si>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</si>
  <si>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</si>
  <si>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</si>
  <si>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</si>
  <si>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</si>
  <si>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</si>
  <si>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</si>
  <si>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</si>
  <si>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</si>
  <si>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</si>
  <si>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</si>
  <si>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</si>
  <si>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Limpeza e Conservação</t>
  </si>
  <si>
    <t>m²</t>
  </si>
  <si>
    <t>Área Interna</t>
  </si>
  <si>
    <t>Área Externa</t>
  </si>
  <si>
    <t>Esquadrias</t>
  </si>
  <si>
    <t>Fachada Envidraçada</t>
  </si>
  <si>
    <t>Calça comprida com elástico e cordão, em brim leve ou Oxford com dois bolsos frontais.</t>
  </si>
  <si>
    <t>Camiseta malha fria, com gola esporte, em brim leve ou Oxford com emblema da empresa pintado.</t>
  </si>
  <si>
    <t xml:space="preserve">ESPECIFICAÇÃO DOS MATERIAIS </t>
  </si>
  <si>
    <t>UNIDADE</t>
  </si>
  <si>
    <t>QTDE ESTIMADA ANUAL</t>
  </si>
  <si>
    <t>TOTAL ANUAL</t>
  </si>
  <si>
    <t>QTDE</t>
  </si>
  <si>
    <t>(R$)</t>
  </si>
  <si>
    <t>Observações:</t>
  </si>
  <si>
    <t xml:space="preserve">(1) Os preços orçados devem ser inclusos os materiais de consumo, manuntenção e depreciação dos equipamentos. </t>
  </si>
  <si>
    <t>(2) A empresa na apresentação de sua planilha deve constar a marca e modelo.</t>
  </si>
  <si>
    <t>(3) A relação dos equipamentos acima é apenas uma estimativa dos quantitativos mínimos necessários a serem fornecidos e utilizados na execução dos serviços, cabendo ao licitante preenchê-la com os preços unitários, total e marcas por ele propostos.</t>
  </si>
  <si>
    <t xml:space="preserve">(4) A relação constante deste Termo de Referência é básica, devendo a licitante vencedora responsabilizar-se pelo fornecimento de todos os materiais, incluindo o emprego de outros não previstos, nas quantidades necessárias à perfeita execução dos serviços; </t>
  </si>
  <si>
    <t>(5) As marcas dos produtos (materiais de limpeza, máquinas, ferramentas, uniformes, etc) deverão ser indicadas na proposta, conforme tabela acima e mantidas nas entregas dos mesmos durante a execução do contrato.</t>
  </si>
  <si>
    <t>MODELO PARA A CONSOLIDAÇÃO E APRESENTAÇÃO DE PROPOSTAS</t>
  </si>
  <si>
    <t>Com ajustes após publicação da Lei n° 13.467, de 2017.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</si>
  <si>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</si>
  <si>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</si>
  <si>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</si>
  <si>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</si>
  <si>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</si>
  <si>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Encarregado de Serviços - 44 horas semanais</t>
  </si>
  <si>
    <t>Data base da categoria (dia/mês/ano):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</si>
  <si>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</si>
  <si>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</si>
  <si>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</si>
  <si>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</si>
  <si>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</si>
  <si>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</si>
  <si>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</si>
  <si>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</si>
  <si>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</si>
  <si>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F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</si>
  <si>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</si>
  <si>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</si>
  <si>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</si>
  <si>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</si>
  <si>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</si>
  <si>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</si>
  <si>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</si>
  <si>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</si>
  <si>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</si>
  <si>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</si>
  <si>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</si>
  <si>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</si>
  <si>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</si>
  <si>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</si>
  <si>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</si>
  <si>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</si>
  <si>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G</t>
  </si>
  <si>
    <t>H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</si>
  <si>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</si>
  <si>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</si>
  <si>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</si>
  <si>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</si>
  <si>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</si>
  <si>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</si>
  <si>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Cesta Básica</t>
  </si>
  <si>
    <t>Assistência Social e Familiar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</si>
  <si>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</si>
  <si>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</si>
  <si>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</si>
  <si>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</si>
  <si>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</si>
  <si>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</si>
  <si>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</si>
  <si>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</si>
  <si>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de GPS, FGTS e outras contribuições sobre o Aviso Prévio Trabalhado</t>
  </si>
  <si>
    <t>Multa do FGTS e contribuição social sobre o Aviso Prévio Trabalhado</t>
  </si>
  <si>
    <t>Módulo 4 - Custo de Reposição do Profissional Ausente</t>
  </si>
  <si>
    <t>Submódulo 4.1 -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</si>
  <si>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</si>
  <si>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</si>
  <si>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</si>
  <si>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</si>
  <si>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</si>
  <si>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</si>
  <si>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</si>
  <si>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</si>
  <si>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</si>
  <si>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</si>
  <si>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</si>
  <si>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</si>
  <si>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</si>
  <si>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</si>
  <si>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</si>
  <si>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 xml:space="preserve">UNIFORMES - VALOR ANUAL </t>
  </si>
  <si>
    <t>Nº</t>
  </si>
  <si>
    <t xml:space="preserve">Custo anual por Empregado  </t>
  </si>
  <si>
    <t xml:space="preserve">Custo mensal por Empregado  </t>
  </si>
  <si>
    <t>Uniformes</t>
  </si>
  <si>
    <t>Materiais</t>
  </si>
  <si>
    <t>Equipamentos</t>
  </si>
  <si>
    <t>Módulo 6 - Custos Indiretos, Tributos e Lucro</t>
  </si>
  <si>
    <t>C.1. Tributos Federais (PIS)</t>
  </si>
  <si>
    <t>C.2. Tributos Federais (COFINS)</t>
  </si>
  <si>
    <t>C.3. Tributos Municipais (ISS)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</si>
  <si>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</si>
  <si>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</si>
  <si>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</si>
  <si>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</si>
  <si>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</si>
  <si>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Adicional de Insalubridade (20%)</t>
  </si>
  <si>
    <t>Adicional de Insalubridade (40%)</t>
  </si>
  <si>
    <t>Auxiliar de Limpeza (Insalubridade 40%) - 44 horas semanais - Produtividade 800 metros</t>
  </si>
  <si>
    <t>Auxiliar de Limpeza (Insalubridade 20%) - 44 horas semanais -Produtividade 800 metros</t>
  </si>
  <si>
    <t>Auxiliar de Limpeza - 44 horas semanais - Produtividade 800 metros</t>
  </si>
  <si>
    <t>Auxiliar de Limpeza - 44 horas semanais - Produtividade 1.200 metros</t>
  </si>
  <si>
    <t>Auxiliar de Limpeza (Insalubridade 20%) - 44 horas semanais -Produtividade 1.200 metros</t>
  </si>
  <si>
    <t>Auxiliar de Limpeza (Insalubridade 40%) - 44 horas semanais - Produtividade 1.200 metros</t>
  </si>
  <si>
    <t>Produtividade Atual (M²)</t>
  </si>
  <si>
    <t>Item 1 - Materiais - Campus Senador Arthur Virgilio Filho/Casa Do Estudante/ Museu Amazônico/
CAUA 1 - Fundação Universidade do Amazonas</t>
  </si>
  <si>
    <t xml:space="preserve">ITEM </t>
  </si>
  <si>
    <t>MARCA/ FABRICANTE / SIMILARIDADE</t>
  </si>
  <si>
    <t>PREÇO</t>
  </si>
  <si>
    <t xml:space="preserve">UNITÁRIO </t>
  </si>
  <si>
    <t xml:space="preserve">Água sanitária, galão de 5 litros </t>
  </si>
  <si>
    <t xml:space="preserve">unidade </t>
  </si>
  <si>
    <t>Brinox</t>
  </si>
  <si>
    <t xml:space="preserve">Álcool etílico líquido, 54º INPM p/ limpeza, 1 L </t>
  </si>
  <si>
    <t>ITAJÁ / TUPI</t>
  </si>
  <si>
    <t xml:space="preserve">Álcool etílico líquido, hidratado, 70º INPM, 1 L </t>
  </si>
  <si>
    <t xml:space="preserve">Álcool etílico em gel, hidratado, 70º INPM, 1 L </t>
  </si>
  <si>
    <t>Adata</t>
  </si>
  <si>
    <t xml:space="preserve">pacote </t>
  </si>
  <si>
    <t>Descarpack</t>
  </si>
  <si>
    <t xml:space="preserve">Aromatizante líquido 5 litros </t>
  </si>
  <si>
    <t>Briosol</t>
  </si>
  <si>
    <t xml:space="preserve">Balde plástico para água com alça de arame galvanizado (quinze litros) </t>
  </si>
  <si>
    <t>Vonder</t>
  </si>
  <si>
    <t xml:space="preserve">Balde plástico para lixo com tampa (cem litros) </t>
  </si>
  <si>
    <t>JSN</t>
  </si>
  <si>
    <t xml:space="preserve">Borrifador spray limpa vidro </t>
  </si>
  <si>
    <t>Belfix</t>
  </si>
  <si>
    <t xml:space="preserve">Cera líquida incolor para piso, biodegradável 5 litros </t>
  </si>
  <si>
    <t>Prot Jet</t>
  </si>
  <si>
    <t xml:space="preserve">Cera líquida para piso super brilho 5 litros </t>
  </si>
  <si>
    <t xml:space="preserve">Cesto de lixo telado 10 litros </t>
  </si>
  <si>
    <t>Max</t>
  </si>
  <si>
    <t xml:space="preserve">Cloro - Hiproclorito de sódio, contendo 5% de cloro ativo, solução aquosa 5 L </t>
  </si>
  <si>
    <t>Audax</t>
  </si>
  <si>
    <t>Coletor de material perfurocortante em papelão, com identificação de resíduo infectante, capacidade de 3L</t>
  </si>
  <si>
    <t xml:space="preserve">Desentupidor de pia </t>
  </si>
  <si>
    <t xml:space="preserve">Desentupidor de vaso sanitário </t>
  </si>
  <si>
    <t xml:space="preserve">Desinfetante de uso geral, biodegradável 5 L </t>
  </si>
  <si>
    <t>Azulim</t>
  </si>
  <si>
    <t xml:space="preserve">Desodorizador de ar, biodegradavel 360 ml </t>
  </si>
  <si>
    <t>Air Wick</t>
  </si>
  <si>
    <t xml:space="preserve">Desodorizador sanitário (pedra sanitária) </t>
  </si>
  <si>
    <t>Harpic / Glade</t>
  </si>
  <si>
    <t xml:space="preserve">Detergente neutro liquido, biodegradável 5L </t>
  </si>
  <si>
    <t>Ypê</t>
  </si>
  <si>
    <t>Bettanin</t>
  </si>
  <si>
    <t xml:space="preserve">Escova para vaso sanitário </t>
  </si>
  <si>
    <t>3M</t>
  </si>
  <si>
    <t xml:space="preserve">Espanador de Mesa </t>
  </si>
  <si>
    <t xml:space="preserve">Esponja de fibra com dupla face </t>
  </si>
  <si>
    <t>Britsh</t>
  </si>
  <si>
    <t xml:space="preserve">Esponja de lã de aço pc com 8 unidades </t>
  </si>
  <si>
    <t>Bombril / Assolan</t>
  </si>
  <si>
    <t xml:space="preserve">Fibra Abrasiva Multiuso Uso Geral Mini Lock </t>
  </si>
  <si>
    <t>British/3M</t>
  </si>
  <si>
    <t xml:space="preserve">Flanela 30 x 30 cm </t>
  </si>
  <si>
    <t>Caebi</t>
  </si>
  <si>
    <t xml:space="preserve">Limpa vidros 5 litros </t>
  </si>
  <si>
    <t>Veja</t>
  </si>
  <si>
    <t xml:space="preserve">Lustra móveis 500ml </t>
  </si>
  <si>
    <t>Poliflor</t>
  </si>
  <si>
    <t xml:space="preserve">Luvas de látex natural – par </t>
  </si>
  <si>
    <t>Danny</t>
  </si>
  <si>
    <t xml:space="preserve">Luvas de algodão </t>
  </si>
  <si>
    <t>Proteplus</t>
  </si>
  <si>
    <t xml:space="preserve">Luvas de algodão pigmentada </t>
  </si>
  <si>
    <t>*Luvas látex descartáveis para procedimento não cirúrgico, caixa com 100 unidades</t>
  </si>
  <si>
    <t xml:space="preserve">Mini Lock com cabo </t>
  </si>
  <si>
    <t>Limpa</t>
  </si>
  <si>
    <t xml:space="preserve">Naftalina (pacote com 1 kg) </t>
  </si>
  <si>
    <t>Sanilar</t>
  </si>
  <si>
    <t>Summer</t>
  </si>
  <si>
    <t xml:space="preserve">Óleo de peroba com 200ml </t>
  </si>
  <si>
    <t>King</t>
  </si>
  <si>
    <t xml:space="preserve">Pá para Lixo cabo longo </t>
  </si>
  <si>
    <t xml:space="preserve">Pano de limpeza de piso (saco branco) 100% algodão </t>
  </si>
  <si>
    <t>Têxtil</t>
  </si>
  <si>
    <t>neve, scott, blanc ou similar</t>
  </si>
  <si>
    <t>Papel toalha branco, 100% CELULOSE VIRGEM, com duas dobras, de alta absorção e de alta qualidade, toaletes (pacotes com 1000 f)</t>
  </si>
  <si>
    <t>Vitoria Régia Luxo</t>
  </si>
  <si>
    <t>Vitoria Régia</t>
  </si>
  <si>
    <t xml:space="preserve">Polidor de alumínio líquido (1 litro) </t>
  </si>
  <si>
    <t>Bombril</t>
  </si>
  <si>
    <t>*Propé descartável (pacote com 100)</t>
  </si>
  <si>
    <t xml:space="preserve">Rastelo de Plástico para área externa </t>
  </si>
  <si>
    <t>Trapp</t>
  </si>
  <si>
    <t>Bralimpia</t>
  </si>
  <si>
    <t xml:space="preserve">Removedor de manchas, tipo Removic ou similar (galão de 5 litros) </t>
  </si>
  <si>
    <t>Becker</t>
  </si>
  <si>
    <t>Condor</t>
  </si>
  <si>
    <t xml:space="preserve">Rodo com 2 borrachas - 60cm de largura, com cabo </t>
  </si>
  <si>
    <t xml:space="preserve">Sabão em barra, biodegradável pac com 1 kg </t>
  </si>
  <si>
    <t xml:space="preserve">Sabão em pó, biodegradável 500 g </t>
  </si>
  <si>
    <t xml:space="preserve">Sabonete líquido, com ph neutro concentrado, cada galão de 5 litros. </t>
  </si>
  <si>
    <t>Soft Plus</t>
  </si>
  <si>
    <t xml:space="preserve">rolo </t>
  </si>
  <si>
    <t>Soluplast</t>
  </si>
  <si>
    <t xml:space="preserve">Saco plástico para lixo com capacidade para cem litros, rolo com 100 unidades </t>
  </si>
  <si>
    <t xml:space="preserve">Saco plástico para lixo com capacidade para cinquenta litros, rolo com 100 unidades </t>
  </si>
  <si>
    <t xml:space="preserve">Saco plástico para lixo com capacidade para trinta litros, rolo com 100 unidades </t>
  </si>
  <si>
    <t xml:space="preserve">Saco plastico para lixo infectante ultrarresistente branco leitoso capacidade de 100L rolo com 100 unidades </t>
  </si>
  <si>
    <t xml:space="preserve">Saco plástico para lixo infectante ultrarresistente branco leitoso capacidade de 50L rolo com 100 unidades </t>
  </si>
  <si>
    <t xml:space="preserve">Saco plástico para lixo infectante ultrarresistente branco leitoso capacidade de 30L rolo com 100 unidades </t>
  </si>
  <si>
    <t xml:space="preserve">Saponáceo em pó, 300g </t>
  </si>
  <si>
    <t xml:space="preserve">Vaselina líquida para limpeza (galão de 20 litros) </t>
  </si>
  <si>
    <t xml:space="preserve">Vassoura piaçava madeira, 40 cm de largura, para limpeza externa, com cabo rosqueado </t>
  </si>
  <si>
    <t xml:space="preserve">Vassoura tipo escovão com cabo </t>
  </si>
  <si>
    <t xml:space="preserve">Vassoura, sisal, madeira, limpeza teto, 300 cm </t>
  </si>
  <si>
    <t>TOTAL MENSAL (Total Anual / 12 Meses)</t>
  </si>
  <si>
    <t>Item 1 - Equipamentos - Campus Senador Arthur Virgilio Filho/Casa Do Estudante/ Museu
Amazônico/ CAUA 1 - Fundação Universidade do Amazonas</t>
  </si>
  <si>
    <t xml:space="preserve">DESCRIÇÃO EQUIPAMENTOS </t>
  </si>
  <si>
    <t xml:space="preserve">UND </t>
  </si>
  <si>
    <t>MARCA/ FABRICANTE</t>
  </si>
  <si>
    <t>Preço
Médio
Unitário</t>
  </si>
  <si>
    <t>Vida Útil
(Mensal)</t>
  </si>
  <si>
    <t>Valor
Total</t>
  </si>
  <si>
    <t xml:space="preserve">(R$) </t>
  </si>
  <si>
    <t xml:space="preserve">Aspirador de pó e água industrial, potência mínima 1600w </t>
  </si>
  <si>
    <t>Electrolux</t>
  </si>
  <si>
    <t xml:space="preserve">Carro coletor, ferro (metalon), rodas com roldanas, 200 litros </t>
  </si>
  <si>
    <t>SteelFlex</t>
  </si>
  <si>
    <t>Contentor para Coleta de Resíduos, Volume Nominal de 1,6 m³, fabricado em conformidade com a Norma NBR- 13.334, composto de Corpo, Tampa e Rodízios.</t>
  </si>
  <si>
    <t>Scotch</t>
  </si>
  <si>
    <t xml:space="preserve">Dispenser papel toalha </t>
  </si>
  <si>
    <t>Premisse</t>
  </si>
  <si>
    <t xml:space="preserve">Dispenser para álcool em gel, capacidade 800 ml, fixação parede </t>
  </si>
  <si>
    <t xml:space="preserve">Dispenser para papel higiênico 300 m </t>
  </si>
  <si>
    <t xml:space="preserve">Dispenser para sabonete líquido </t>
  </si>
  <si>
    <t xml:space="preserve">Enceradeira industrial p/ lavagem de piso, c/ escovas de 350 mm. </t>
  </si>
  <si>
    <t>Certec</t>
  </si>
  <si>
    <t>Alustep</t>
  </si>
  <si>
    <t xml:space="preserve">Extensão elétrica 50 m </t>
  </si>
  <si>
    <t>Tramontina</t>
  </si>
  <si>
    <t>Lavadora de alta pressão, com potência mínima de 2500 libras, com mangueira e pistola, vazão: 1.100 L/H</t>
  </si>
  <si>
    <t>Stihl</t>
  </si>
  <si>
    <t>Mangueira para jardim, superflexível, ¾”, peça com 50m, marca Tramontina ou similar</t>
  </si>
  <si>
    <t xml:space="preserve">Placa de sinalização cuidado piso molhado, dobrável, frente e verso </t>
  </si>
  <si>
    <t>Henry</t>
  </si>
  <si>
    <t>TOTAL MENSAL POR EMPREGADOS (Produtividade 800 metros)</t>
  </si>
  <si>
    <t>TOTAL MENSAL POR EMPREGADOS (Produtividade 1200 metros)</t>
  </si>
  <si>
    <t>TOTAL MENSAL POR EMPREGADO (Produtividade 800 metros))</t>
  </si>
  <si>
    <t>AM000563/2023</t>
  </si>
  <si>
    <t>01.01.2024</t>
  </si>
  <si>
    <t>TOTAL MENSAL POR EMPREGADO (Produtividade 1200 metros))</t>
  </si>
  <si>
    <t>Conforme ETP e TR</t>
  </si>
  <si>
    <t>* Produtividade fixa na mínima 200 M²</t>
  </si>
  <si>
    <t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</si>
  <si>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Manaus, 15 de outubro de 2024.</t>
  </si>
</sst>
</file>

<file path=xl/styles.xml><?xml version="1.0" encoding="utf-8"?>
<styleSheet xmlns="http://schemas.openxmlformats.org/spreadsheetml/2006/main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-[$R$-416]\ * #,##0.00_-;\-[$R$-416]\ * #,##0.00_-;_-[$R$-416]\ * &quot;-&quot;??_-;_-@_-"/>
    <numFmt numFmtId="166" formatCode="_-* #,##0.0000000_-;\-* #,##0.0000000_-;_-* &quot;-&quot;??_-;_-@_-"/>
    <numFmt numFmtId="167" formatCode="_(&quot;$&quot;* #,##0.00_);_(&quot;$&quot;* \(#,##0.00\);_(&quot;$&quot;* &quot;-&quot;??_);_(@_)"/>
    <numFmt numFmtId="168" formatCode="_(* #,##0.00_);_(* \(#,##0.00\);_(* \-??_);_(@_)"/>
    <numFmt numFmtId="169" formatCode="0.000"/>
    <numFmt numFmtId="170" formatCode="&quot;R$&quot;\ #,##0.00"/>
    <numFmt numFmtId="171" formatCode="dd/mm/yy"/>
    <numFmt numFmtId="172" formatCode="[$R$-416]\ #,##0.00;[Red]\-[$R$-416]\ #,##0.00"/>
    <numFmt numFmtId="173" formatCode="&quot;R$&quot;#,##0.00"/>
    <numFmt numFmtId="174" formatCode="_(&quot;R$ &quot;* #,##0.00_);_(&quot;R$ &quot;* \(#,##0.00\);_(&quot;R$ &quot;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8"/>
      <name val="Times New Roman"/>
      <family val="1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169" fontId="4" fillId="4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vertical="center"/>
    </xf>
    <xf numFmtId="169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4" fillId="4" borderId="1" xfId="0" applyNumberFormat="1" applyFont="1" applyFill="1" applyBorder="1" applyAlignment="1">
      <alignment vertical="center"/>
    </xf>
    <xf numFmtId="168" fontId="8" fillId="7" borderId="18" xfId="6" applyFont="1" applyFill="1" applyBorder="1" applyAlignment="1">
      <alignment horizontal="center" vertical="center"/>
    </xf>
    <xf numFmtId="168" fontId="8" fillId="7" borderId="19" xfId="0" applyNumberFormat="1" applyFont="1" applyFill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8" fillId="7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4" fontId="22" fillId="0" borderId="1" xfId="9" applyNumberFormat="1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9" fontId="4" fillId="4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0" fillId="0" borderId="0" xfId="0" applyFill="1"/>
    <xf numFmtId="0" fontId="23" fillId="0" borderId="1" xfId="0" applyFont="1" applyFill="1" applyBorder="1" applyAlignment="1">
      <alignment horizontal="center" vertical="center" wrapText="1"/>
    </xf>
    <xf numFmtId="174" fontId="22" fillId="0" borderId="1" xfId="9" applyNumberFormat="1" applyFont="1" applyFill="1" applyBorder="1" applyAlignment="1">
      <alignment horizontal="center" vertical="center" wrapText="1"/>
    </xf>
    <xf numFmtId="174" fontId="22" fillId="0" borderId="1" xfId="0" applyNumberFormat="1" applyFont="1" applyFill="1" applyBorder="1" applyAlignment="1">
      <alignment horizontal="center" vertical="center" wrapText="1"/>
    </xf>
    <xf numFmtId="43" fontId="22" fillId="0" borderId="0" xfId="0" applyNumberFormat="1" applyFont="1" applyFill="1"/>
    <xf numFmtId="44" fontId="22" fillId="0" borderId="1" xfId="9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2" fillId="0" borderId="0" xfId="0" applyFont="1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174" fontId="22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7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9" fillId="0" borderId="0" xfId="0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171" fontId="3" fillId="0" borderId="1" xfId="0" applyNumberFormat="1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wrapText="1"/>
    </xf>
    <xf numFmtId="0" fontId="3" fillId="8" borderId="0" xfId="0" applyFont="1" applyFill="1"/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170" fontId="9" fillId="0" borderId="2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0" fontId="9" fillId="0" borderId="26" xfId="0" applyNumberFormat="1" applyFont="1" applyBorder="1" applyAlignment="1">
      <alignment horizontal="center" vertical="center" wrapText="1"/>
    </xf>
    <xf numFmtId="170" fontId="9" fillId="0" borderId="0" xfId="0" applyNumberFormat="1" applyFont="1"/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justify" wrapText="1"/>
    </xf>
    <xf numFmtId="3" fontId="9" fillId="0" borderId="20" xfId="6" applyNumberFormat="1" applyFont="1" applyBorder="1" applyAlignment="1">
      <alignment horizontal="center" vertical="center"/>
    </xf>
    <xf numFmtId="170" fontId="9" fillId="0" borderId="20" xfId="6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3" fontId="9" fillId="0" borderId="1" xfId="6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10" fontId="8" fillId="0" borderId="26" xfId="5" applyNumberFormat="1" applyFont="1" applyBorder="1" applyAlignment="1">
      <alignment horizontal="center" vertical="center" wrapText="1"/>
    </xf>
    <xf numFmtId="10" fontId="9" fillId="0" borderId="26" xfId="5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0" fontId="9" fillId="0" borderId="26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30" fillId="0" borderId="0" xfId="0" applyFont="1"/>
    <xf numFmtId="0" fontId="9" fillId="0" borderId="0" xfId="0" applyFont="1" applyAlignment="1">
      <alignment horizontal="center" vertical="center"/>
    </xf>
    <xf numFmtId="173" fontId="9" fillId="0" borderId="0" xfId="0" applyNumberFormat="1" applyFont="1"/>
    <xf numFmtId="172" fontId="3" fillId="0" borderId="0" xfId="0" applyNumberFormat="1" applyFont="1"/>
    <xf numFmtId="0" fontId="3" fillId="0" borderId="0" xfId="0" applyFont="1" applyAlignment="1">
      <alignment horizontal="left" vertical="center"/>
    </xf>
    <xf numFmtId="0" fontId="8" fillId="11" borderId="0" xfId="0" applyFont="1" applyFill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left" vertical="center"/>
    </xf>
    <xf numFmtId="0" fontId="21" fillId="8" borderId="7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72" fontId="3" fillId="8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/>
    </xf>
    <xf numFmtId="0" fontId="29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8" fillId="8" borderId="0" xfId="0" applyFont="1" applyFill="1" applyAlignment="1">
      <alignment horizontal="center" vertical="center" wrapText="1"/>
    </xf>
    <xf numFmtId="4" fontId="3" fillId="8" borderId="4" xfId="0" applyNumberFormat="1" applyFont="1" applyFill="1" applyBorder="1" applyAlignment="1">
      <alignment horizontal="center" vertical="center" wrapText="1"/>
    </xf>
    <xf numFmtId="4" fontId="3" fillId="8" borderId="21" xfId="0" applyNumberFormat="1" applyFont="1" applyFill="1" applyBorder="1" applyAlignment="1">
      <alignment horizontal="center" vertical="center" wrapText="1"/>
    </xf>
    <xf numFmtId="4" fontId="3" fillId="8" borderId="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9" fontId="4" fillId="4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</cellXfs>
  <cellStyles count="10">
    <cellStyle name="Moeda" xfId="9" builtinId="4"/>
    <cellStyle name="Moeda 2" xfId="2"/>
    <cellStyle name="Moeda 3" xfId="4"/>
    <cellStyle name="Normal" xfId="0" builtinId="0"/>
    <cellStyle name="Normal 2" xfId="3"/>
    <cellStyle name="Porcentagem" xfId="5" builtinId="5"/>
    <cellStyle name="Separador de milhares" xfId="1" builtinId="3"/>
    <cellStyle name="Vírgula 2" xfId="6"/>
    <cellStyle name="Vírgula 3" xfId="8"/>
    <cellStyle name="Vírgula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4"/>
  <sheetViews>
    <sheetView topLeftCell="A154" zoomScaleNormal="100" workbookViewId="0">
      <selection activeCell="A172" sqref="A172"/>
    </sheetView>
  </sheetViews>
  <sheetFormatPr defaultRowHeight="15"/>
  <cols>
    <col min="1" max="1" width="12.5703125" style="110" customWidth="1"/>
    <col min="2" max="2" width="72.140625" style="110" customWidth="1"/>
    <col min="3" max="3" width="18" style="110" customWidth="1"/>
    <col min="4" max="4" width="14.28515625" style="110" customWidth="1"/>
    <col min="5" max="5" width="12.710937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>
      <c r="A11" s="123" t="s">
        <v>190</v>
      </c>
      <c r="B11" s="124" t="s">
        <v>191</v>
      </c>
      <c r="C11" s="166" t="s">
        <v>452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2247.77</v>
      </c>
      <c r="D24" s="178"/>
      <c r="E24" s="178"/>
    </row>
    <row r="25" spans="1:5" ht="15.75">
      <c r="A25" s="123">
        <v>3</v>
      </c>
      <c r="B25" s="127" t="s">
        <v>224</v>
      </c>
      <c r="C25" s="179" t="s">
        <v>225</v>
      </c>
      <c r="D25" s="179"/>
      <c r="E25" s="179"/>
    </row>
    <row r="26" spans="1:5">
      <c r="A26" s="123">
        <v>4</v>
      </c>
      <c r="B26" s="127" t="s">
        <v>226</v>
      </c>
      <c r="C26" s="180" t="str">
        <f>'Aux Limpeza 800m'!C26:E26</f>
        <v>01.01.2024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2247.77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232</v>
      </c>
      <c r="C35" s="132"/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2247.77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187.31416666666667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249.7522222222222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437.06638888888887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536.96727777777778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67.120909722222223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80.545091666666664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40.272545833333332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26.84836388888889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16.109018333333335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5.3696727777777777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214.78691111111112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988.0197911111112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(4.5*2*22)-(C39*100%*6%)</f>
        <v>63.133800000000008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599.13380000000006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437.06638888888887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988.0197911111112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599.13380000000006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2024.2199800000001</v>
      </c>
      <c r="D82" s="119"/>
      <c r="E82" s="119"/>
    </row>
    <row r="83" spans="1:5" ht="15.75">
      <c r="A83" s="136"/>
      <c r="B83" s="119"/>
      <c r="C83" s="119"/>
      <c r="D83" s="119"/>
      <c r="E83" s="119"/>
    </row>
    <row r="84" spans="1:5" ht="15.75">
      <c r="A84" s="119"/>
      <c r="B84" s="119"/>
      <c r="C84" s="119"/>
      <c r="D84" s="119"/>
      <c r="E84" s="119"/>
    </row>
    <row r="85" spans="1:5" ht="15.75">
      <c r="A85" s="160" t="s">
        <v>265</v>
      </c>
      <c r="B85" s="160"/>
      <c r="C85" s="160"/>
      <c r="D85" s="119"/>
      <c r="E85" s="119"/>
    </row>
    <row r="86" spans="1:5" ht="16.5" thickBot="1">
      <c r="A86" s="119"/>
      <c r="B86" s="119"/>
      <c r="C86" s="135"/>
      <c r="D86" s="119"/>
      <c r="E86" s="119"/>
    </row>
    <row r="87" spans="1:5" ht="16.5" thickBot="1">
      <c r="A87" s="128">
        <v>3</v>
      </c>
      <c r="B87" s="129" t="s">
        <v>266</v>
      </c>
      <c r="C87" s="129" t="s">
        <v>229</v>
      </c>
      <c r="D87" s="119"/>
      <c r="E87" s="119"/>
    </row>
    <row r="88" spans="1:5" ht="16.5" thickBot="1">
      <c r="A88" s="130" t="s">
        <v>185</v>
      </c>
      <c r="B88" s="137" t="s">
        <v>267</v>
      </c>
      <c r="C88" s="132">
        <f>0.42%*(C39+C49+D62+C73)</f>
        <v>14.694779820000001</v>
      </c>
      <c r="D88" s="154"/>
      <c r="E88" s="154"/>
    </row>
    <row r="89" spans="1:5" ht="16.5" thickBot="1">
      <c r="A89" s="130" t="s">
        <v>187</v>
      </c>
      <c r="B89" s="137" t="s">
        <v>268</v>
      </c>
      <c r="C89" s="132">
        <f>8%*C88</f>
        <v>1.1755823856000001</v>
      </c>
      <c r="D89" s="119"/>
      <c r="E89" s="154"/>
    </row>
    <row r="90" spans="1:5" ht="16.5" thickBot="1">
      <c r="A90" s="130" t="s">
        <v>190</v>
      </c>
      <c r="B90" s="137" t="s">
        <v>269</v>
      </c>
      <c r="C90" s="132">
        <f>4.35%*C39</f>
        <v>97.77799499999999</v>
      </c>
      <c r="D90" s="135"/>
      <c r="E90" s="154"/>
    </row>
    <row r="91" spans="1:5" ht="16.5" thickBot="1">
      <c r="A91" s="130" t="s">
        <v>192</v>
      </c>
      <c r="B91" s="137" t="s">
        <v>270</v>
      </c>
      <c r="C91" s="132">
        <f>1.94%*(C39+C82)</f>
        <v>82.876605612000006</v>
      </c>
      <c r="D91" s="154"/>
      <c r="E91" s="154"/>
    </row>
    <row r="92" spans="1:5" ht="32.25" thickBot="1">
      <c r="A92" s="130" t="s">
        <v>234</v>
      </c>
      <c r="B92" s="137" t="s">
        <v>271</v>
      </c>
      <c r="C92" s="132">
        <f>0.71%*C39</f>
        <v>15.959166999999999</v>
      </c>
      <c r="D92" s="119"/>
      <c r="E92" s="119"/>
    </row>
    <row r="93" spans="1:5" ht="16.5" thickBot="1">
      <c r="A93" s="130" t="s">
        <v>236</v>
      </c>
      <c r="B93" s="137" t="s">
        <v>272</v>
      </c>
      <c r="C93" s="132">
        <f>8%*C91</f>
        <v>6.6301284489600008</v>
      </c>
      <c r="D93" s="135"/>
      <c r="E93" s="154"/>
    </row>
    <row r="94" spans="1:5" ht="16.5" thickBot="1">
      <c r="A94" s="158" t="s">
        <v>72</v>
      </c>
      <c r="B94" s="159"/>
      <c r="C94" s="132">
        <f>SUM(C88:C93)</f>
        <v>219.11425826656</v>
      </c>
      <c r="D94" s="119"/>
      <c r="E94" s="119"/>
    </row>
    <row r="95" spans="1:5" ht="15.75">
      <c r="A95" s="119"/>
      <c r="B95" s="119"/>
      <c r="C95" s="119"/>
      <c r="D95" s="119"/>
      <c r="E95" s="119"/>
    </row>
    <row r="96" spans="1:5" ht="15.75">
      <c r="A96" s="119"/>
      <c r="B96" s="119"/>
      <c r="C96" s="119"/>
      <c r="D96" s="119"/>
      <c r="E96" s="119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30.988619244039263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6.7366563573998404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0.898220847653312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6.7366563573998404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2.5150183734292737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47.875171179921523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47.875171179921523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47.875171179921523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16.5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16.5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v>0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v>0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23.134166666666669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136.86340728339445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319.06053717262529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5493.1992562333535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35.705795165516797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164.7959776870006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274.6599628116677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931.08568012020487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16.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2247.77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2024.2199800000001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219.11425826656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47.875171179921523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23.134166666666669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4562.1135761131482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931.08568012020487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5493.1992562333526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9"/>
      <c r="B171" s="119"/>
      <c r="C171" s="119"/>
      <c r="D171" s="119"/>
      <c r="E171" s="119"/>
    </row>
    <row r="172" spans="1:5">
      <c r="A172" s="110" t="s">
        <v>458</v>
      </c>
    </row>
    <row r="174" spans="1:5" ht="15.75">
      <c r="A174" s="112"/>
      <c r="B174" s="112"/>
      <c r="C174" s="113"/>
      <c r="D174" s="152"/>
      <c r="E174" s="119"/>
    </row>
    <row r="175" spans="1:5" ht="15.75">
      <c r="A175" s="151"/>
      <c r="B175" s="151"/>
      <c r="C175" s="152"/>
      <c r="D175" s="152"/>
      <c r="E175" s="119"/>
    </row>
    <row r="176" spans="1:5" ht="15.75">
      <c r="A176" s="119"/>
      <c r="B176" s="119"/>
      <c r="C176" s="152"/>
      <c r="D176" s="152"/>
      <c r="E176" s="119"/>
    </row>
    <row r="177" spans="1:5" ht="15.75">
      <c r="A177" s="153"/>
      <c r="B177" s="151"/>
      <c r="C177" s="152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2">
    <mergeCell ref="C18:D18"/>
    <mergeCell ref="C10:E10"/>
    <mergeCell ref="A1:D1"/>
    <mergeCell ref="A2:D2"/>
    <mergeCell ref="A3:D3"/>
    <mergeCell ref="A8:E8"/>
    <mergeCell ref="C9:E9"/>
    <mergeCell ref="E16:E19"/>
    <mergeCell ref="A63:B63"/>
    <mergeCell ref="A30:C30"/>
    <mergeCell ref="C11:E11"/>
    <mergeCell ref="C12:E12"/>
    <mergeCell ref="A14:C14"/>
    <mergeCell ref="C19:D19"/>
    <mergeCell ref="A21:E21"/>
    <mergeCell ref="C15:E15"/>
    <mergeCell ref="A16:A19"/>
    <mergeCell ref="C16:D16"/>
    <mergeCell ref="C17:D17"/>
    <mergeCell ref="A22:E22"/>
    <mergeCell ref="C23:E23"/>
    <mergeCell ref="C24:E24"/>
    <mergeCell ref="C25:E25"/>
    <mergeCell ref="C26:E26"/>
    <mergeCell ref="A39:B39"/>
    <mergeCell ref="A42:C42"/>
    <mergeCell ref="A44:C44"/>
    <mergeCell ref="A49:B49"/>
    <mergeCell ref="A52:D52"/>
    <mergeCell ref="A169:B16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  <mergeCell ref="A119:C119"/>
    <mergeCell ref="A66:C66"/>
    <mergeCell ref="A73:B73"/>
    <mergeCell ref="A76:C76"/>
    <mergeCell ref="A82:B82"/>
    <mergeCell ref="A85:C85"/>
    <mergeCell ref="A97:C97"/>
    <mergeCell ref="A100:C100"/>
    <mergeCell ref="A109:B109"/>
    <mergeCell ref="A112:C112"/>
    <mergeCell ref="A116:B116"/>
    <mergeCell ref="A94:B94"/>
  </mergeCells>
  <pageMargins left="0.511811024" right="0.511811024" top="0.78740157499999996" bottom="0.78740157499999996" header="0.31496062000000002" footer="0.31496062000000002"/>
  <pageSetup paperSize="9" scale="64" orientation="portrait" r:id="rId1"/>
  <rowBreaks count="2" manualBreakCount="2">
    <brk id="63" max="4" man="1"/>
    <brk id="125" max="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3"/>
  <sheetViews>
    <sheetView topLeftCell="A70" zoomScaleNormal="100" workbookViewId="0">
      <selection activeCell="C81" sqref="C81"/>
    </sheetView>
  </sheetViews>
  <sheetFormatPr defaultRowHeight="15"/>
  <cols>
    <col min="1" max="2" width="9.140625" style="93"/>
    <col min="3" max="3" width="16.5703125" style="93" customWidth="1"/>
    <col min="4" max="4" width="9.85546875" style="93" customWidth="1"/>
    <col min="5" max="5" width="10.140625" style="93" customWidth="1"/>
    <col min="6" max="6" width="11.140625" style="93" customWidth="1"/>
    <col min="7" max="7" width="11.85546875" style="93" customWidth="1"/>
    <col min="8" max="8" width="15.140625" style="93" customWidth="1"/>
    <col min="9" max="16384" width="9.140625" style="93"/>
  </cols>
  <sheetData>
    <row r="1" spans="1:9" ht="15" customHeight="1">
      <c r="A1" s="90"/>
      <c r="B1" s="91"/>
      <c r="C1" s="100"/>
      <c r="D1" s="91"/>
      <c r="E1" s="91"/>
      <c r="F1" s="92"/>
      <c r="G1" s="91"/>
      <c r="H1" s="91"/>
      <c r="I1" s="90"/>
    </row>
    <row r="2" spans="1:9" ht="15" customHeight="1">
      <c r="A2" s="90"/>
      <c r="B2" s="231" t="s">
        <v>315</v>
      </c>
      <c r="C2" s="231"/>
      <c r="D2" s="231"/>
      <c r="E2" s="231"/>
      <c r="F2" s="231"/>
      <c r="G2" s="231"/>
      <c r="H2" s="231"/>
      <c r="I2" s="90"/>
    </row>
    <row r="3" spans="1:9" ht="15.75" customHeight="1">
      <c r="A3" s="90"/>
      <c r="B3" s="230" t="s">
        <v>316</v>
      </c>
      <c r="C3" s="231" t="s">
        <v>206</v>
      </c>
      <c r="D3" s="230" t="s">
        <v>207</v>
      </c>
      <c r="E3" s="231" t="s">
        <v>208</v>
      </c>
      <c r="F3" s="232" t="s">
        <v>317</v>
      </c>
      <c r="G3" s="230" t="s">
        <v>318</v>
      </c>
      <c r="H3" s="230"/>
      <c r="I3" s="90"/>
    </row>
    <row r="4" spans="1:9">
      <c r="A4" s="90"/>
      <c r="B4" s="230"/>
      <c r="C4" s="231"/>
      <c r="D4" s="230"/>
      <c r="E4" s="231"/>
      <c r="F4" s="233"/>
      <c r="G4" s="101" t="s">
        <v>319</v>
      </c>
      <c r="H4" s="101" t="s">
        <v>3</v>
      </c>
      <c r="I4" s="90"/>
    </row>
    <row r="5" spans="1:9" ht="24">
      <c r="A5" s="90"/>
      <c r="B5" s="102">
        <v>1</v>
      </c>
      <c r="C5" s="103" t="s">
        <v>320</v>
      </c>
      <c r="D5" s="102" t="s">
        <v>321</v>
      </c>
      <c r="E5" s="102">
        <v>2956</v>
      </c>
      <c r="F5" s="104" t="s">
        <v>322</v>
      </c>
      <c r="G5" s="74">
        <v>10.9</v>
      </c>
      <c r="H5" s="74">
        <f>E5*G5</f>
        <v>32220.400000000001</v>
      </c>
      <c r="I5" s="90"/>
    </row>
    <row r="6" spans="1:9" ht="15.6" customHeight="1">
      <c r="A6" s="90"/>
      <c r="B6" s="72">
        <v>2</v>
      </c>
      <c r="C6" s="71" t="s">
        <v>323</v>
      </c>
      <c r="D6" s="72" t="s">
        <v>321</v>
      </c>
      <c r="E6" s="72">
        <v>1296</v>
      </c>
      <c r="F6" s="73" t="s">
        <v>324</v>
      </c>
      <c r="G6" s="74">
        <v>10</v>
      </c>
      <c r="H6" s="74">
        <f t="shared" ref="H6:H69" si="0">E6*G6</f>
        <v>12960</v>
      </c>
      <c r="I6" s="90"/>
    </row>
    <row r="7" spans="1:9" ht="36">
      <c r="A7" s="90"/>
      <c r="B7" s="72">
        <v>3</v>
      </c>
      <c r="C7" s="71" t="s">
        <v>325</v>
      </c>
      <c r="D7" s="72" t="s">
        <v>321</v>
      </c>
      <c r="E7" s="72">
        <v>320</v>
      </c>
      <c r="F7" s="73" t="s">
        <v>324</v>
      </c>
      <c r="G7" s="74">
        <v>7.39</v>
      </c>
      <c r="H7" s="74">
        <f t="shared" si="0"/>
        <v>2364.7999999999997</v>
      </c>
      <c r="I7" s="90"/>
    </row>
    <row r="8" spans="1:9" ht="36">
      <c r="A8" s="90"/>
      <c r="B8" s="72">
        <v>4</v>
      </c>
      <c r="C8" s="71" t="s">
        <v>326</v>
      </c>
      <c r="D8" s="72" t="s">
        <v>321</v>
      </c>
      <c r="E8" s="72">
        <v>550</v>
      </c>
      <c r="F8" s="73" t="s">
        <v>327</v>
      </c>
      <c r="G8" s="74">
        <v>8.1300000000000008</v>
      </c>
      <c r="H8" s="74">
        <f t="shared" si="0"/>
        <v>4471.5</v>
      </c>
      <c r="I8" s="90"/>
    </row>
    <row r="9" spans="1:9" ht="36">
      <c r="A9" s="90"/>
      <c r="B9" s="72">
        <v>5</v>
      </c>
      <c r="C9" s="71" t="s">
        <v>176</v>
      </c>
      <c r="D9" s="72" t="s">
        <v>328</v>
      </c>
      <c r="E9" s="72">
        <v>100</v>
      </c>
      <c r="F9" s="73" t="s">
        <v>329</v>
      </c>
      <c r="G9" s="74">
        <v>14.35</v>
      </c>
      <c r="H9" s="74">
        <f t="shared" si="0"/>
        <v>1435</v>
      </c>
      <c r="I9" s="90"/>
    </row>
    <row r="10" spans="1:9" ht="24">
      <c r="A10" s="90"/>
      <c r="B10" s="72">
        <v>6</v>
      </c>
      <c r="C10" s="71" t="s">
        <v>330</v>
      </c>
      <c r="D10" s="72" t="s">
        <v>321</v>
      </c>
      <c r="E10" s="72">
        <v>320</v>
      </c>
      <c r="F10" s="73" t="s">
        <v>331</v>
      </c>
      <c r="G10" s="74">
        <v>11.24</v>
      </c>
      <c r="H10" s="74">
        <f t="shared" si="0"/>
        <v>3596.8</v>
      </c>
      <c r="I10" s="90"/>
    </row>
    <row r="11" spans="1:9" ht="48">
      <c r="A11" s="90"/>
      <c r="B11" s="72">
        <v>7</v>
      </c>
      <c r="C11" s="71" t="s">
        <v>332</v>
      </c>
      <c r="D11" s="72" t="s">
        <v>321</v>
      </c>
      <c r="E11" s="72">
        <v>315</v>
      </c>
      <c r="F11" s="73" t="s">
        <v>333</v>
      </c>
      <c r="G11" s="74">
        <v>11.24</v>
      </c>
      <c r="H11" s="74">
        <f t="shared" si="0"/>
        <v>3540.6</v>
      </c>
      <c r="I11" s="90"/>
    </row>
    <row r="12" spans="1:9" ht="36">
      <c r="A12" s="90"/>
      <c r="B12" s="72">
        <v>8</v>
      </c>
      <c r="C12" s="71" t="s">
        <v>334</v>
      </c>
      <c r="D12" s="72" t="s">
        <v>321</v>
      </c>
      <c r="E12" s="72">
        <v>320</v>
      </c>
      <c r="F12" s="73" t="s">
        <v>335</v>
      </c>
      <c r="G12" s="74">
        <v>54</v>
      </c>
      <c r="H12" s="74">
        <f t="shared" si="0"/>
        <v>17280</v>
      </c>
      <c r="I12" s="90"/>
    </row>
    <row r="13" spans="1:9" ht="24">
      <c r="A13" s="90"/>
      <c r="B13" s="72">
        <v>9</v>
      </c>
      <c r="C13" s="71" t="s">
        <v>336</v>
      </c>
      <c r="D13" s="72" t="s">
        <v>321</v>
      </c>
      <c r="E13" s="72">
        <v>220</v>
      </c>
      <c r="F13" s="73" t="s">
        <v>337</v>
      </c>
      <c r="G13" s="74">
        <v>9.26</v>
      </c>
      <c r="H13" s="74">
        <f t="shared" si="0"/>
        <v>2037.2</v>
      </c>
      <c r="I13" s="90"/>
    </row>
    <row r="14" spans="1:9" ht="48">
      <c r="A14" s="90"/>
      <c r="B14" s="72">
        <v>10</v>
      </c>
      <c r="C14" s="71" t="s">
        <v>338</v>
      </c>
      <c r="D14" s="72" t="s">
        <v>321</v>
      </c>
      <c r="E14" s="72">
        <v>350</v>
      </c>
      <c r="F14" s="73" t="s">
        <v>339</v>
      </c>
      <c r="G14" s="74">
        <v>17.61</v>
      </c>
      <c r="H14" s="74">
        <f t="shared" si="0"/>
        <v>6163.5</v>
      </c>
      <c r="I14" s="90"/>
    </row>
    <row r="15" spans="1:9" ht="36">
      <c r="A15" s="90"/>
      <c r="B15" s="72">
        <v>11</v>
      </c>
      <c r="C15" s="71" t="s">
        <v>340</v>
      </c>
      <c r="D15" s="72" t="s">
        <v>321</v>
      </c>
      <c r="E15" s="72">
        <v>60</v>
      </c>
      <c r="F15" s="73" t="s">
        <v>339</v>
      </c>
      <c r="G15" s="74">
        <v>19.829999999999998</v>
      </c>
      <c r="H15" s="74">
        <f t="shared" si="0"/>
        <v>1189.8</v>
      </c>
      <c r="I15" s="90"/>
    </row>
    <row r="16" spans="1:9" ht="24">
      <c r="A16" s="90"/>
      <c r="B16" s="72">
        <v>12</v>
      </c>
      <c r="C16" s="71" t="s">
        <v>341</v>
      </c>
      <c r="D16" s="72" t="s">
        <v>321</v>
      </c>
      <c r="E16" s="72">
        <v>280</v>
      </c>
      <c r="F16" s="73" t="s">
        <v>342</v>
      </c>
      <c r="G16" s="74">
        <v>3.87</v>
      </c>
      <c r="H16" s="74">
        <f t="shared" si="0"/>
        <v>1083.6000000000001</v>
      </c>
      <c r="I16" s="90"/>
    </row>
    <row r="17" spans="1:9" ht="60">
      <c r="A17" s="90"/>
      <c r="B17" s="72">
        <v>13</v>
      </c>
      <c r="C17" s="71" t="s">
        <v>343</v>
      </c>
      <c r="D17" s="72" t="s">
        <v>321</v>
      </c>
      <c r="E17" s="72">
        <v>370</v>
      </c>
      <c r="F17" s="73" t="s">
        <v>344</v>
      </c>
      <c r="G17" s="74">
        <v>14.78</v>
      </c>
      <c r="H17" s="74">
        <f t="shared" si="0"/>
        <v>5468.5999999999995</v>
      </c>
      <c r="I17" s="90"/>
    </row>
    <row r="18" spans="1:9" ht="72">
      <c r="A18" s="90"/>
      <c r="B18" s="72">
        <v>14</v>
      </c>
      <c r="C18" s="71" t="s">
        <v>345</v>
      </c>
      <c r="D18" s="72" t="s">
        <v>321</v>
      </c>
      <c r="E18" s="72">
        <v>140</v>
      </c>
      <c r="F18" s="73" t="s">
        <v>329</v>
      </c>
      <c r="G18" s="74">
        <v>4.7</v>
      </c>
      <c r="H18" s="74">
        <f t="shared" si="0"/>
        <v>658</v>
      </c>
      <c r="I18" s="90"/>
    </row>
    <row r="19" spans="1:9" ht="24">
      <c r="A19" s="90"/>
      <c r="B19" s="72">
        <v>15</v>
      </c>
      <c r="C19" s="71" t="s">
        <v>346</v>
      </c>
      <c r="D19" s="72" t="s">
        <v>321</v>
      </c>
      <c r="E19" s="72">
        <v>380</v>
      </c>
      <c r="F19" s="73" t="s">
        <v>333</v>
      </c>
      <c r="G19" s="74">
        <v>4.75</v>
      </c>
      <c r="H19" s="74">
        <f t="shared" si="0"/>
        <v>1805</v>
      </c>
      <c r="I19" s="90"/>
    </row>
    <row r="20" spans="1:9" ht="24">
      <c r="A20" s="90"/>
      <c r="B20" s="72">
        <v>16</v>
      </c>
      <c r="C20" s="71" t="s">
        <v>347</v>
      </c>
      <c r="D20" s="72" t="s">
        <v>321</v>
      </c>
      <c r="E20" s="72">
        <v>380</v>
      </c>
      <c r="F20" s="73" t="s">
        <v>333</v>
      </c>
      <c r="G20" s="74">
        <v>6.15</v>
      </c>
      <c r="H20" s="74">
        <f t="shared" si="0"/>
        <v>2337</v>
      </c>
      <c r="I20" s="90"/>
    </row>
    <row r="21" spans="1:9" ht="36">
      <c r="A21" s="90"/>
      <c r="B21" s="72">
        <v>17</v>
      </c>
      <c r="C21" s="71" t="s">
        <v>348</v>
      </c>
      <c r="D21" s="72" t="s">
        <v>321</v>
      </c>
      <c r="E21" s="72">
        <v>4136</v>
      </c>
      <c r="F21" s="73" t="s">
        <v>349</v>
      </c>
      <c r="G21" s="74">
        <v>17.84</v>
      </c>
      <c r="H21" s="74">
        <f t="shared" si="0"/>
        <v>73786.240000000005</v>
      </c>
      <c r="I21" s="90"/>
    </row>
    <row r="22" spans="1:9" ht="36">
      <c r="A22" s="90"/>
      <c r="B22" s="72">
        <v>19</v>
      </c>
      <c r="C22" s="71" t="s">
        <v>350</v>
      </c>
      <c r="D22" s="72" t="s">
        <v>321</v>
      </c>
      <c r="E22" s="72">
        <v>3200</v>
      </c>
      <c r="F22" s="73" t="s">
        <v>351</v>
      </c>
      <c r="G22" s="74">
        <v>7.13</v>
      </c>
      <c r="H22" s="74">
        <f t="shared" si="0"/>
        <v>22816</v>
      </c>
      <c r="I22" s="90"/>
    </row>
    <row r="23" spans="1:9" ht="36">
      <c r="A23" s="90"/>
      <c r="B23" s="72">
        <v>20</v>
      </c>
      <c r="C23" s="71" t="s">
        <v>352</v>
      </c>
      <c r="D23" s="72" t="s">
        <v>321</v>
      </c>
      <c r="E23" s="105">
        <v>15240</v>
      </c>
      <c r="F23" s="106" t="s">
        <v>353</v>
      </c>
      <c r="G23" s="74">
        <v>1.39</v>
      </c>
      <c r="H23" s="74">
        <f t="shared" si="0"/>
        <v>21183.599999999999</v>
      </c>
      <c r="I23" s="90"/>
    </row>
    <row r="24" spans="1:9" ht="36">
      <c r="A24" s="90"/>
      <c r="B24" s="72">
        <v>21</v>
      </c>
      <c r="C24" s="71" t="s">
        <v>354</v>
      </c>
      <c r="D24" s="72" t="s">
        <v>321</v>
      </c>
      <c r="E24" s="72">
        <v>626</v>
      </c>
      <c r="F24" s="73" t="s">
        <v>355</v>
      </c>
      <c r="G24" s="74">
        <v>11.9</v>
      </c>
      <c r="H24" s="74">
        <f t="shared" si="0"/>
        <v>7449.4000000000005</v>
      </c>
      <c r="I24" s="90"/>
    </row>
    <row r="25" spans="1:9">
      <c r="A25" s="90"/>
      <c r="B25" s="72">
        <v>22</v>
      </c>
      <c r="C25" s="71" t="s">
        <v>112</v>
      </c>
      <c r="D25" s="72" t="s">
        <v>321</v>
      </c>
      <c r="E25" s="72">
        <v>380</v>
      </c>
      <c r="F25" s="73" t="s">
        <v>356</v>
      </c>
      <c r="G25" s="74">
        <v>4.95</v>
      </c>
      <c r="H25" s="74">
        <f t="shared" si="0"/>
        <v>1881</v>
      </c>
      <c r="I25" s="90"/>
    </row>
    <row r="26" spans="1:9" ht="24">
      <c r="A26" s="90"/>
      <c r="B26" s="72">
        <v>23</v>
      </c>
      <c r="C26" s="71" t="s">
        <v>357</v>
      </c>
      <c r="D26" s="72" t="s">
        <v>321</v>
      </c>
      <c r="E26" s="72">
        <v>380</v>
      </c>
      <c r="F26" s="73" t="s">
        <v>358</v>
      </c>
      <c r="G26" s="74">
        <v>5.09</v>
      </c>
      <c r="H26" s="74">
        <f t="shared" si="0"/>
        <v>1934.2</v>
      </c>
      <c r="I26" s="90"/>
    </row>
    <row r="27" spans="1:9" ht="24">
      <c r="A27" s="90"/>
      <c r="B27" s="72">
        <v>24</v>
      </c>
      <c r="C27" s="71" t="s">
        <v>359</v>
      </c>
      <c r="D27" s="72" t="s">
        <v>321</v>
      </c>
      <c r="E27" s="72">
        <v>80</v>
      </c>
      <c r="F27" s="73" t="s">
        <v>358</v>
      </c>
      <c r="G27" s="74">
        <v>4.8600000000000003</v>
      </c>
      <c r="H27" s="74">
        <f t="shared" si="0"/>
        <v>388.8</v>
      </c>
      <c r="I27" s="90"/>
    </row>
    <row r="28" spans="1:9" ht="24">
      <c r="A28" s="90"/>
      <c r="B28" s="72">
        <v>25</v>
      </c>
      <c r="C28" s="71" t="s">
        <v>360</v>
      </c>
      <c r="D28" s="72" t="s">
        <v>321</v>
      </c>
      <c r="E28" s="72">
        <v>2346</v>
      </c>
      <c r="F28" s="73" t="s">
        <v>361</v>
      </c>
      <c r="G28" s="74">
        <v>0.75</v>
      </c>
      <c r="H28" s="74">
        <f t="shared" si="0"/>
        <v>1759.5</v>
      </c>
      <c r="I28" s="90"/>
    </row>
    <row r="29" spans="1:9" ht="36">
      <c r="A29" s="90"/>
      <c r="B29" s="72">
        <v>26</v>
      </c>
      <c r="C29" s="71" t="s">
        <v>362</v>
      </c>
      <c r="D29" s="72" t="s">
        <v>321</v>
      </c>
      <c r="E29" s="72">
        <v>1300</v>
      </c>
      <c r="F29" s="72" t="s">
        <v>363</v>
      </c>
      <c r="G29" s="74">
        <v>1.83</v>
      </c>
      <c r="H29" s="74">
        <f t="shared" si="0"/>
        <v>2379</v>
      </c>
      <c r="I29" s="90"/>
    </row>
    <row r="30" spans="1:9" ht="36">
      <c r="A30" s="90"/>
      <c r="B30" s="72">
        <v>27</v>
      </c>
      <c r="C30" s="71" t="s">
        <v>364</v>
      </c>
      <c r="D30" s="72" t="s">
        <v>321</v>
      </c>
      <c r="E30" s="72">
        <v>150</v>
      </c>
      <c r="F30" s="73" t="s">
        <v>365</v>
      </c>
      <c r="G30" s="74">
        <v>29.97</v>
      </c>
      <c r="H30" s="74">
        <f t="shared" si="0"/>
        <v>4495.5</v>
      </c>
      <c r="I30" s="90"/>
    </row>
    <row r="31" spans="1:9">
      <c r="A31" s="90"/>
      <c r="B31" s="72">
        <v>28</v>
      </c>
      <c r="C31" s="71" t="s">
        <v>366</v>
      </c>
      <c r="D31" s="72" t="s">
        <v>321</v>
      </c>
      <c r="E31" s="72">
        <v>620</v>
      </c>
      <c r="F31" s="73" t="s">
        <v>367</v>
      </c>
      <c r="G31" s="74">
        <v>1.9</v>
      </c>
      <c r="H31" s="74">
        <f t="shared" si="0"/>
        <v>1178</v>
      </c>
      <c r="I31" s="90"/>
    </row>
    <row r="32" spans="1:9" ht="24">
      <c r="A32" s="90"/>
      <c r="B32" s="72">
        <v>29</v>
      </c>
      <c r="C32" s="71" t="s">
        <v>368</v>
      </c>
      <c r="D32" s="72" t="s">
        <v>321</v>
      </c>
      <c r="E32" s="72">
        <v>300</v>
      </c>
      <c r="F32" s="73" t="s">
        <v>369</v>
      </c>
      <c r="G32" s="74">
        <v>9</v>
      </c>
      <c r="H32" s="74">
        <f t="shared" si="0"/>
        <v>2700</v>
      </c>
      <c r="I32" s="90"/>
    </row>
    <row r="33" spans="1:9" ht="84">
      <c r="A33" s="90"/>
      <c r="B33" s="72">
        <v>30</v>
      </c>
      <c r="C33" s="71" t="s">
        <v>126</v>
      </c>
      <c r="D33" s="72" t="s">
        <v>321</v>
      </c>
      <c r="E33" s="72">
        <v>400</v>
      </c>
      <c r="F33" s="73" t="s">
        <v>369</v>
      </c>
      <c r="G33" s="74">
        <v>13.4</v>
      </c>
      <c r="H33" s="74">
        <f t="shared" si="0"/>
        <v>5360</v>
      </c>
      <c r="I33" s="90"/>
    </row>
    <row r="34" spans="1:9" ht="24">
      <c r="A34" s="90"/>
      <c r="B34" s="72">
        <v>31</v>
      </c>
      <c r="C34" s="71" t="s">
        <v>370</v>
      </c>
      <c r="D34" s="72" t="s">
        <v>321</v>
      </c>
      <c r="E34" s="72">
        <v>600</v>
      </c>
      <c r="F34" s="73" t="s">
        <v>371</v>
      </c>
      <c r="G34" s="74">
        <v>5.66</v>
      </c>
      <c r="H34" s="74">
        <f t="shared" si="0"/>
        <v>3396</v>
      </c>
      <c r="I34" s="90"/>
    </row>
    <row r="35" spans="1:9" ht="24">
      <c r="A35" s="90"/>
      <c r="B35" s="72">
        <v>32</v>
      </c>
      <c r="C35" s="71" t="s">
        <v>372</v>
      </c>
      <c r="D35" s="72" t="s">
        <v>321</v>
      </c>
      <c r="E35" s="72">
        <v>730</v>
      </c>
      <c r="F35" s="73" t="s">
        <v>373</v>
      </c>
      <c r="G35" s="74">
        <v>5.85</v>
      </c>
      <c r="H35" s="74">
        <f t="shared" si="0"/>
        <v>4270.5</v>
      </c>
      <c r="I35" s="90"/>
    </row>
    <row r="36" spans="1:9">
      <c r="A36" s="90"/>
      <c r="B36" s="72">
        <v>33</v>
      </c>
      <c r="C36" s="71" t="s">
        <v>374</v>
      </c>
      <c r="D36" s="72" t="s">
        <v>321</v>
      </c>
      <c r="E36" s="72">
        <v>360</v>
      </c>
      <c r="F36" s="73" t="s">
        <v>375</v>
      </c>
      <c r="G36" s="74">
        <v>2.7</v>
      </c>
      <c r="H36" s="74">
        <f t="shared" si="0"/>
        <v>972.00000000000011</v>
      </c>
      <c r="I36" s="90"/>
    </row>
    <row r="37" spans="1:9" ht="24">
      <c r="A37" s="90"/>
      <c r="B37" s="72">
        <v>34</v>
      </c>
      <c r="C37" s="71" t="s">
        <v>376</v>
      </c>
      <c r="D37" s="72" t="s">
        <v>321</v>
      </c>
      <c r="E37" s="72">
        <v>320</v>
      </c>
      <c r="F37" s="73" t="s">
        <v>375</v>
      </c>
      <c r="G37" s="74">
        <v>3.03</v>
      </c>
      <c r="H37" s="74">
        <f t="shared" si="0"/>
        <v>969.59999999999991</v>
      </c>
      <c r="I37" s="90"/>
    </row>
    <row r="38" spans="1:9" ht="90">
      <c r="A38" s="90"/>
      <c r="B38" s="72">
        <v>35</v>
      </c>
      <c r="C38" s="107" t="s">
        <v>377</v>
      </c>
      <c r="D38" s="72" t="s">
        <v>321</v>
      </c>
      <c r="E38" s="72">
        <v>80</v>
      </c>
      <c r="F38" s="73" t="s">
        <v>329</v>
      </c>
      <c r="G38" s="74">
        <v>18.350000000000001</v>
      </c>
      <c r="H38" s="74">
        <f t="shared" si="0"/>
        <v>1468</v>
      </c>
      <c r="I38" s="90"/>
    </row>
    <row r="39" spans="1:9" ht="48">
      <c r="A39" s="90"/>
      <c r="B39" s="72">
        <v>36</v>
      </c>
      <c r="C39" s="71" t="s">
        <v>177</v>
      </c>
      <c r="D39" s="72" t="s">
        <v>328</v>
      </c>
      <c r="E39" s="72">
        <v>65</v>
      </c>
      <c r="F39" s="73" t="s">
        <v>329</v>
      </c>
      <c r="G39" s="74">
        <v>8.99</v>
      </c>
      <c r="H39" s="74">
        <f t="shared" si="0"/>
        <v>584.35</v>
      </c>
      <c r="I39" s="90"/>
    </row>
    <row r="40" spans="1:9">
      <c r="A40" s="90"/>
      <c r="B40" s="72">
        <v>37</v>
      </c>
      <c r="C40" s="71" t="s">
        <v>378</v>
      </c>
      <c r="D40" s="72" t="s">
        <v>321</v>
      </c>
      <c r="E40" s="72">
        <v>30</v>
      </c>
      <c r="F40" s="73" t="s">
        <v>379</v>
      </c>
      <c r="G40" s="74">
        <v>37.78</v>
      </c>
      <c r="H40" s="74">
        <f t="shared" si="0"/>
        <v>1133.4000000000001</v>
      </c>
      <c r="I40" s="90"/>
    </row>
    <row r="41" spans="1:9" ht="24">
      <c r="A41" s="90"/>
      <c r="B41" s="72">
        <v>38</v>
      </c>
      <c r="C41" s="71" t="s">
        <v>380</v>
      </c>
      <c r="D41" s="72" t="s">
        <v>328</v>
      </c>
      <c r="E41" s="72">
        <v>550</v>
      </c>
      <c r="F41" s="73" t="s">
        <v>381</v>
      </c>
      <c r="G41" s="74">
        <v>49.16</v>
      </c>
      <c r="H41" s="74">
        <f t="shared" si="0"/>
        <v>27037.999999999996</v>
      </c>
      <c r="I41" s="90"/>
    </row>
    <row r="42" spans="1:9" ht="24">
      <c r="A42" s="90"/>
      <c r="B42" s="72">
        <v>39</v>
      </c>
      <c r="C42" s="71" t="s">
        <v>178</v>
      </c>
      <c r="D42" s="72" t="s">
        <v>321</v>
      </c>
      <c r="E42" s="72">
        <v>250</v>
      </c>
      <c r="F42" s="73" t="s">
        <v>382</v>
      </c>
      <c r="G42" s="74">
        <v>4.99</v>
      </c>
      <c r="H42" s="74">
        <f t="shared" si="0"/>
        <v>1247.5</v>
      </c>
      <c r="I42" s="90"/>
    </row>
    <row r="43" spans="1:9" ht="24">
      <c r="A43" s="90"/>
      <c r="B43" s="72">
        <v>40</v>
      </c>
      <c r="C43" s="71" t="s">
        <v>383</v>
      </c>
      <c r="D43" s="72" t="s">
        <v>321</v>
      </c>
      <c r="E43" s="72">
        <v>250</v>
      </c>
      <c r="F43" s="73" t="s">
        <v>384</v>
      </c>
      <c r="G43" s="74">
        <v>9.1999999999999993</v>
      </c>
      <c r="H43" s="74">
        <f t="shared" si="0"/>
        <v>2300</v>
      </c>
      <c r="I43" s="90"/>
    </row>
    <row r="44" spans="1:9" ht="24">
      <c r="A44" s="90"/>
      <c r="B44" s="72">
        <v>41</v>
      </c>
      <c r="C44" s="71" t="s">
        <v>385</v>
      </c>
      <c r="D44" s="72" t="s">
        <v>321</v>
      </c>
      <c r="E44" s="72">
        <v>150</v>
      </c>
      <c r="F44" s="73" t="s">
        <v>356</v>
      </c>
      <c r="G44" s="74">
        <v>9.1</v>
      </c>
      <c r="H44" s="74">
        <f t="shared" si="0"/>
        <v>1365</v>
      </c>
      <c r="I44" s="90"/>
    </row>
    <row r="45" spans="1:9" ht="48">
      <c r="A45" s="90"/>
      <c r="B45" s="72">
        <v>43</v>
      </c>
      <c r="C45" s="71" t="s">
        <v>386</v>
      </c>
      <c r="D45" s="72" t="s">
        <v>321</v>
      </c>
      <c r="E45" s="72">
        <v>2500</v>
      </c>
      <c r="F45" s="73" t="s">
        <v>387</v>
      </c>
      <c r="G45" s="74">
        <v>3.3</v>
      </c>
      <c r="H45" s="74">
        <f t="shared" si="0"/>
        <v>8250</v>
      </c>
      <c r="I45" s="90"/>
    </row>
    <row r="46" spans="1:9" ht="150">
      <c r="A46" s="90"/>
      <c r="B46" s="72">
        <v>44</v>
      </c>
      <c r="C46" s="107" t="s">
        <v>114</v>
      </c>
      <c r="D46" s="72" t="s">
        <v>328</v>
      </c>
      <c r="E46" s="72">
        <v>390</v>
      </c>
      <c r="F46" s="73" t="s">
        <v>388</v>
      </c>
      <c r="G46" s="74">
        <v>49.2</v>
      </c>
      <c r="H46" s="74">
        <f t="shared" si="0"/>
        <v>19188</v>
      </c>
      <c r="I46" s="90"/>
    </row>
    <row r="47" spans="1:9" ht="120">
      <c r="A47" s="90"/>
      <c r="B47" s="72">
        <v>45</v>
      </c>
      <c r="C47" s="71" t="s">
        <v>114</v>
      </c>
      <c r="D47" s="72" t="s">
        <v>328</v>
      </c>
      <c r="E47" s="72">
        <v>7600</v>
      </c>
      <c r="F47" s="73" t="s">
        <v>388</v>
      </c>
      <c r="G47" s="74">
        <v>42.5</v>
      </c>
      <c r="H47" s="74">
        <f t="shared" si="0"/>
        <v>323000</v>
      </c>
      <c r="I47" s="90"/>
    </row>
    <row r="48" spans="1:9" ht="150">
      <c r="A48" s="90"/>
      <c r="B48" s="72">
        <v>46</v>
      </c>
      <c r="C48" s="107" t="s">
        <v>389</v>
      </c>
      <c r="D48" s="72" t="s">
        <v>328</v>
      </c>
      <c r="E48" s="72">
        <v>390</v>
      </c>
      <c r="F48" s="73" t="s">
        <v>390</v>
      </c>
      <c r="G48" s="74">
        <v>9.75</v>
      </c>
      <c r="H48" s="74">
        <f t="shared" si="0"/>
        <v>3802.5</v>
      </c>
      <c r="I48" s="90"/>
    </row>
    <row r="49" spans="1:9" ht="108">
      <c r="A49" s="90"/>
      <c r="B49" s="72">
        <v>47</v>
      </c>
      <c r="C49" s="71" t="s">
        <v>129</v>
      </c>
      <c r="D49" s="72" t="s">
        <v>328</v>
      </c>
      <c r="E49" s="72">
        <v>12200</v>
      </c>
      <c r="F49" s="73" t="s">
        <v>391</v>
      </c>
      <c r="G49" s="74">
        <v>12.6</v>
      </c>
      <c r="H49" s="74">
        <f t="shared" si="0"/>
        <v>153720</v>
      </c>
      <c r="I49" s="90"/>
    </row>
    <row r="50" spans="1:9" ht="24">
      <c r="A50" s="90"/>
      <c r="B50" s="72">
        <v>48</v>
      </c>
      <c r="C50" s="71" t="s">
        <v>392</v>
      </c>
      <c r="D50" s="72" t="s">
        <v>321</v>
      </c>
      <c r="E50" s="72">
        <v>40</v>
      </c>
      <c r="F50" s="73" t="s">
        <v>393</v>
      </c>
      <c r="G50" s="74">
        <v>13.3</v>
      </c>
      <c r="H50" s="74">
        <f t="shared" si="0"/>
        <v>532</v>
      </c>
      <c r="I50" s="90"/>
    </row>
    <row r="51" spans="1:9" ht="45">
      <c r="A51" s="90"/>
      <c r="B51" s="72">
        <v>49</v>
      </c>
      <c r="C51" s="107" t="s">
        <v>394</v>
      </c>
      <c r="D51" s="72" t="s">
        <v>321</v>
      </c>
      <c r="E51" s="72">
        <v>5500</v>
      </c>
      <c r="F51" s="73" t="s">
        <v>329</v>
      </c>
      <c r="G51" s="74">
        <v>7.14</v>
      </c>
      <c r="H51" s="74">
        <f t="shared" si="0"/>
        <v>39270</v>
      </c>
      <c r="I51" s="90"/>
    </row>
    <row r="52" spans="1:9" ht="24">
      <c r="A52" s="90"/>
      <c r="B52" s="72">
        <v>50</v>
      </c>
      <c r="C52" s="71" t="s">
        <v>395</v>
      </c>
      <c r="D52" s="72" t="s">
        <v>321</v>
      </c>
      <c r="E52" s="72">
        <v>250</v>
      </c>
      <c r="F52" s="73" t="s">
        <v>396</v>
      </c>
      <c r="G52" s="74">
        <v>14</v>
      </c>
      <c r="H52" s="74">
        <f t="shared" si="0"/>
        <v>3500</v>
      </c>
      <c r="I52" s="90"/>
    </row>
    <row r="53" spans="1:9">
      <c r="A53" s="90"/>
      <c r="B53" s="72">
        <v>51</v>
      </c>
      <c r="C53" s="71" t="s">
        <v>116</v>
      </c>
      <c r="D53" s="72" t="s">
        <v>321</v>
      </c>
      <c r="E53" s="72">
        <v>240</v>
      </c>
      <c r="F53" s="73" t="s">
        <v>397</v>
      </c>
      <c r="G53" s="74">
        <v>27.68</v>
      </c>
      <c r="H53" s="74">
        <f t="shared" si="0"/>
        <v>6643.2</v>
      </c>
      <c r="I53" s="90"/>
    </row>
    <row r="54" spans="1:9" ht="48">
      <c r="A54" s="90"/>
      <c r="B54" s="72">
        <v>53</v>
      </c>
      <c r="C54" s="71" t="s">
        <v>398</v>
      </c>
      <c r="D54" s="72" t="s">
        <v>321</v>
      </c>
      <c r="E54" s="72">
        <v>100</v>
      </c>
      <c r="F54" s="73" t="s">
        <v>399</v>
      </c>
      <c r="G54" s="74">
        <v>13.4</v>
      </c>
      <c r="H54" s="74">
        <f t="shared" si="0"/>
        <v>1340</v>
      </c>
      <c r="I54" s="90"/>
    </row>
    <row r="55" spans="1:9" ht="48">
      <c r="A55" s="90"/>
      <c r="B55" s="72">
        <v>54</v>
      </c>
      <c r="C55" s="71" t="s">
        <v>117</v>
      </c>
      <c r="D55" s="72" t="s">
        <v>321</v>
      </c>
      <c r="E55" s="72">
        <v>280</v>
      </c>
      <c r="F55" s="73" t="s">
        <v>400</v>
      </c>
      <c r="G55" s="74">
        <v>12.47</v>
      </c>
      <c r="H55" s="74">
        <f t="shared" si="0"/>
        <v>3491.6000000000004</v>
      </c>
      <c r="I55" s="90"/>
    </row>
    <row r="56" spans="1:9" ht="48">
      <c r="A56" s="90"/>
      <c r="B56" s="72">
        <v>55</v>
      </c>
      <c r="C56" s="71" t="s">
        <v>401</v>
      </c>
      <c r="D56" s="72" t="s">
        <v>321</v>
      </c>
      <c r="E56" s="72">
        <v>180</v>
      </c>
      <c r="F56" s="73" t="s">
        <v>400</v>
      </c>
      <c r="G56" s="74">
        <v>21.3</v>
      </c>
      <c r="H56" s="74">
        <f t="shared" si="0"/>
        <v>3834</v>
      </c>
      <c r="I56" s="90"/>
    </row>
    <row r="57" spans="1:9" ht="36">
      <c r="A57" s="90"/>
      <c r="B57" s="72">
        <v>56</v>
      </c>
      <c r="C57" s="71" t="s">
        <v>402</v>
      </c>
      <c r="D57" s="72" t="s">
        <v>321</v>
      </c>
      <c r="E57" s="72">
        <v>450</v>
      </c>
      <c r="F57" s="73" t="s">
        <v>355</v>
      </c>
      <c r="G57" s="74">
        <v>9.3000000000000007</v>
      </c>
      <c r="H57" s="74">
        <f t="shared" si="0"/>
        <v>4185</v>
      </c>
      <c r="I57" s="90"/>
    </row>
    <row r="58" spans="1:9" ht="36">
      <c r="A58" s="90"/>
      <c r="B58" s="72">
        <v>57</v>
      </c>
      <c r="C58" s="71" t="s">
        <v>403</v>
      </c>
      <c r="D58" s="72" t="s">
        <v>321</v>
      </c>
      <c r="E58" s="72">
        <v>1796</v>
      </c>
      <c r="F58" s="73" t="s">
        <v>355</v>
      </c>
      <c r="G58" s="74">
        <v>2.25</v>
      </c>
      <c r="H58" s="74">
        <f t="shared" si="0"/>
        <v>4041</v>
      </c>
      <c r="I58" s="90"/>
    </row>
    <row r="59" spans="1:9" ht="48">
      <c r="A59" s="90"/>
      <c r="B59" s="72">
        <v>58</v>
      </c>
      <c r="C59" s="71" t="s">
        <v>404</v>
      </c>
      <c r="D59" s="72" t="s">
        <v>321</v>
      </c>
      <c r="E59" s="72">
        <v>1550</v>
      </c>
      <c r="F59" s="73" t="s">
        <v>405</v>
      </c>
      <c r="G59" s="74">
        <v>12.93</v>
      </c>
      <c r="H59" s="74">
        <f t="shared" si="0"/>
        <v>20041.5</v>
      </c>
      <c r="I59" s="90"/>
    </row>
    <row r="60" spans="1:9" ht="60">
      <c r="A60" s="90"/>
      <c r="B60" s="72">
        <v>59</v>
      </c>
      <c r="C60" s="71" t="s">
        <v>127</v>
      </c>
      <c r="D60" s="72" t="s">
        <v>406</v>
      </c>
      <c r="E60" s="72">
        <v>60</v>
      </c>
      <c r="F60" s="73" t="s">
        <v>407</v>
      </c>
      <c r="G60" s="74">
        <v>27.15</v>
      </c>
      <c r="H60" s="74">
        <f t="shared" si="0"/>
        <v>1629</v>
      </c>
      <c r="I60" s="90"/>
    </row>
    <row r="61" spans="1:9" ht="60">
      <c r="A61" s="90"/>
      <c r="B61" s="72">
        <v>61</v>
      </c>
      <c r="C61" s="71" t="s">
        <v>408</v>
      </c>
      <c r="D61" s="72" t="s">
        <v>406</v>
      </c>
      <c r="E61" s="72">
        <v>1148</v>
      </c>
      <c r="F61" s="73" t="s">
        <v>407</v>
      </c>
      <c r="G61" s="74">
        <v>11.3</v>
      </c>
      <c r="H61" s="74">
        <f t="shared" si="0"/>
        <v>12972.400000000001</v>
      </c>
      <c r="I61" s="90"/>
    </row>
    <row r="62" spans="1:9" ht="72">
      <c r="A62" s="90"/>
      <c r="B62" s="72">
        <v>62</v>
      </c>
      <c r="C62" s="71" t="s">
        <v>409</v>
      </c>
      <c r="D62" s="72" t="s">
        <v>406</v>
      </c>
      <c r="E62" s="72">
        <v>250</v>
      </c>
      <c r="F62" s="73" t="s">
        <v>407</v>
      </c>
      <c r="G62" s="74">
        <v>11.5</v>
      </c>
      <c r="H62" s="74">
        <f t="shared" si="0"/>
        <v>2875</v>
      </c>
      <c r="I62" s="90"/>
    </row>
    <row r="63" spans="1:9" ht="60">
      <c r="A63" s="90"/>
      <c r="B63" s="72">
        <v>63</v>
      </c>
      <c r="C63" s="71" t="s">
        <v>410</v>
      </c>
      <c r="D63" s="72" t="s">
        <v>406</v>
      </c>
      <c r="E63" s="72">
        <v>2450</v>
      </c>
      <c r="F63" s="73" t="s">
        <v>407</v>
      </c>
      <c r="G63" s="74">
        <v>11</v>
      </c>
      <c r="H63" s="74">
        <f t="shared" si="0"/>
        <v>26950</v>
      </c>
      <c r="I63" s="90"/>
    </row>
    <row r="64" spans="1:9" ht="84">
      <c r="A64" s="90"/>
      <c r="B64" s="72">
        <v>64</v>
      </c>
      <c r="C64" s="71" t="s">
        <v>411</v>
      </c>
      <c r="D64" s="72" t="s">
        <v>406</v>
      </c>
      <c r="E64" s="72">
        <v>20</v>
      </c>
      <c r="F64" s="73" t="s">
        <v>407</v>
      </c>
      <c r="G64" s="74">
        <v>25</v>
      </c>
      <c r="H64" s="74">
        <f t="shared" si="0"/>
        <v>500</v>
      </c>
      <c r="I64" s="90"/>
    </row>
    <row r="65" spans="1:9" ht="84">
      <c r="A65" s="90"/>
      <c r="B65" s="72">
        <v>65</v>
      </c>
      <c r="C65" s="71" t="s">
        <v>412</v>
      </c>
      <c r="D65" s="72" t="s">
        <v>118</v>
      </c>
      <c r="E65" s="72">
        <v>30</v>
      </c>
      <c r="F65" s="73" t="s">
        <v>407</v>
      </c>
      <c r="G65" s="74">
        <v>20.13</v>
      </c>
      <c r="H65" s="74">
        <f t="shared" si="0"/>
        <v>603.9</v>
      </c>
      <c r="I65" s="90"/>
    </row>
    <row r="66" spans="1:9" ht="84">
      <c r="A66" s="90"/>
      <c r="B66" s="72">
        <v>66</v>
      </c>
      <c r="C66" s="71" t="s">
        <v>413</v>
      </c>
      <c r="D66" s="72" t="s">
        <v>118</v>
      </c>
      <c r="E66" s="72">
        <v>80</v>
      </c>
      <c r="F66" s="73" t="s">
        <v>407</v>
      </c>
      <c r="G66" s="74">
        <v>16.57</v>
      </c>
      <c r="H66" s="74">
        <f t="shared" si="0"/>
        <v>1325.6</v>
      </c>
      <c r="I66" s="90"/>
    </row>
    <row r="67" spans="1:9" ht="24">
      <c r="A67" s="90"/>
      <c r="B67" s="72">
        <v>67</v>
      </c>
      <c r="C67" s="71" t="s">
        <v>414</v>
      </c>
      <c r="D67" s="72" t="s">
        <v>321</v>
      </c>
      <c r="E67" s="72">
        <v>90</v>
      </c>
      <c r="F67" s="73" t="s">
        <v>393</v>
      </c>
      <c r="G67" s="74">
        <v>3.25</v>
      </c>
      <c r="H67" s="74">
        <f t="shared" si="0"/>
        <v>292.5</v>
      </c>
      <c r="I67" s="90"/>
    </row>
    <row r="68" spans="1:9" ht="36">
      <c r="A68" s="90"/>
      <c r="B68" s="72">
        <v>68</v>
      </c>
      <c r="C68" s="71" t="s">
        <v>179</v>
      </c>
      <c r="D68" s="72" t="s">
        <v>115</v>
      </c>
      <c r="E68" s="72">
        <v>10</v>
      </c>
      <c r="F68" s="73" t="s">
        <v>329</v>
      </c>
      <c r="G68" s="74">
        <v>7.39</v>
      </c>
      <c r="H68" s="74">
        <f t="shared" si="0"/>
        <v>73.899999999999991</v>
      </c>
      <c r="I68" s="90"/>
    </row>
    <row r="69" spans="1:9" ht="36">
      <c r="A69" s="90"/>
      <c r="B69" s="72">
        <v>69</v>
      </c>
      <c r="C69" s="71" t="s">
        <v>415</v>
      </c>
      <c r="D69" s="72" t="s">
        <v>321</v>
      </c>
      <c r="E69" s="72">
        <v>20</v>
      </c>
      <c r="F69" s="73" t="s">
        <v>333</v>
      </c>
      <c r="G69" s="74">
        <v>35.39</v>
      </c>
      <c r="H69" s="74">
        <f t="shared" si="0"/>
        <v>707.8</v>
      </c>
      <c r="I69" s="90"/>
    </row>
    <row r="70" spans="1:9" ht="36">
      <c r="A70" s="90"/>
      <c r="B70" s="72">
        <v>70</v>
      </c>
      <c r="C70" s="71" t="s">
        <v>119</v>
      </c>
      <c r="D70" s="72" t="s">
        <v>321</v>
      </c>
      <c r="E70" s="72">
        <v>400</v>
      </c>
      <c r="F70" s="73" t="s">
        <v>400</v>
      </c>
      <c r="G70" s="74">
        <v>10.9</v>
      </c>
      <c r="H70" s="74">
        <f t="shared" ref="H70:H75" si="1">E70*G70</f>
        <v>4360</v>
      </c>
      <c r="I70" s="90"/>
    </row>
    <row r="71" spans="1:9" ht="36">
      <c r="A71" s="90"/>
      <c r="B71" s="72">
        <v>71</v>
      </c>
      <c r="C71" s="71" t="s">
        <v>120</v>
      </c>
      <c r="D71" s="72" t="s">
        <v>321</v>
      </c>
      <c r="E71" s="72">
        <v>200</v>
      </c>
      <c r="F71" s="73" t="s">
        <v>400</v>
      </c>
      <c r="G71" s="74">
        <v>15.88</v>
      </c>
      <c r="H71" s="74">
        <f t="shared" si="1"/>
        <v>3176</v>
      </c>
      <c r="I71" s="90"/>
    </row>
    <row r="72" spans="1:9" ht="36">
      <c r="A72" s="90"/>
      <c r="B72" s="72">
        <v>72</v>
      </c>
      <c r="C72" s="71" t="s">
        <v>121</v>
      </c>
      <c r="D72" s="72" t="s">
        <v>321</v>
      </c>
      <c r="E72" s="72">
        <v>650</v>
      </c>
      <c r="F72" s="73" t="s">
        <v>400</v>
      </c>
      <c r="G72" s="74">
        <v>7.04</v>
      </c>
      <c r="H72" s="74">
        <f t="shared" si="1"/>
        <v>4576</v>
      </c>
      <c r="I72" s="90"/>
    </row>
    <row r="73" spans="1:9" ht="72">
      <c r="A73" s="90"/>
      <c r="B73" s="72">
        <v>73</v>
      </c>
      <c r="C73" s="71" t="s">
        <v>416</v>
      </c>
      <c r="D73" s="72" t="s">
        <v>321</v>
      </c>
      <c r="E73" s="72">
        <v>650</v>
      </c>
      <c r="F73" s="73" t="s">
        <v>400</v>
      </c>
      <c r="G73" s="74">
        <v>10.85</v>
      </c>
      <c r="H73" s="74">
        <f t="shared" si="1"/>
        <v>7052.5</v>
      </c>
      <c r="I73" s="90"/>
    </row>
    <row r="74" spans="1:9" ht="24">
      <c r="A74" s="90"/>
      <c r="B74" s="72">
        <v>74</v>
      </c>
      <c r="C74" s="71" t="s">
        <v>417</v>
      </c>
      <c r="D74" s="72" t="s">
        <v>321</v>
      </c>
      <c r="E74" s="72">
        <v>450</v>
      </c>
      <c r="F74" s="73" t="s">
        <v>400</v>
      </c>
      <c r="G74" s="74">
        <v>11.1</v>
      </c>
      <c r="H74" s="74">
        <f t="shared" si="1"/>
        <v>4995</v>
      </c>
      <c r="I74" s="90"/>
    </row>
    <row r="75" spans="1:9" ht="36">
      <c r="A75" s="90"/>
      <c r="B75" s="72">
        <v>75</v>
      </c>
      <c r="C75" s="71" t="s">
        <v>418</v>
      </c>
      <c r="D75" s="72" t="s">
        <v>321</v>
      </c>
      <c r="E75" s="72">
        <v>300</v>
      </c>
      <c r="F75" s="73" t="s">
        <v>400</v>
      </c>
      <c r="G75" s="74">
        <v>18.8</v>
      </c>
      <c r="H75" s="74">
        <f t="shared" si="1"/>
        <v>5640</v>
      </c>
      <c r="I75" s="90"/>
    </row>
    <row r="76" spans="1:9">
      <c r="A76" s="90"/>
      <c r="B76" s="230" t="s">
        <v>209</v>
      </c>
      <c r="C76" s="230"/>
      <c r="D76" s="230"/>
      <c r="E76" s="230"/>
      <c r="F76" s="230"/>
      <c r="G76" s="230"/>
      <c r="H76" s="108">
        <f>SUM(H5:H75)</f>
        <v>963235.79</v>
      </c>
      <c r="I76" s="90"/>
    </row>
    <row r="77" spans="1:9">
      <c r="A77" s="90"/>
      <c r="B77" s="230" t="s">
        <v>419</v>
      </c>
      <c r="C77" s="230"/>
      <c r="D77" s="230"/>
      <c r="E77" s="230"/>
      <c r="F77" s="230"/>
      <c r="G77" s="230"/>
      <c r="H77" s="74">
        <f>H76/12</f>
        <v>80269.64916666667</v>
      </c>
      <c r="I77" s="90"/>
    </row>
    <row r="78" spans="1:9">
      <c r="A78" s="90"/>
      <c r="B78" s="230" t="s">
        <v>449</v>
      </c>
      <c r="C78" s="230"/>
      <c r="D78" s="230"/>
      <c r="E78" s="230"/>
      <c r="F78" s="230"/>
      <c r="G78" s="230"/>
      <c r="H78" s="74">
        <f>H77/'Campus,Cs Est, Museu,CAUA 1 800'!P132</f>
        <v>301.39405754542719</v>
      </c>
      <c r="I78" s="90"/>
    </row>
    <row r="79" spans="1:9">
      <c r="A79" s="90"/>
      <c r="B79" s="230" t="s">
        <v>450</v>
      </c>
      <c r="C79" s="230"/>
      <c r="D79" s="230"/>
      <c r="E79" s="230"/>
      <c r="F79" s="230"/>
      <c r="G79" s="230"/>
      <c r="H79" s="74">
        <f>H77/'Campus,Cs Est, Museu,CAUA1 1200'!P132</f>
        <v>433.11302861483779</v>
      </c>
      <c r="I79" s="90"/>
    </row>
    <row r="80" spans="1:9" ht="15.75" customHeight="1"/>
    <row r="81" spans="3:3" ht="15.75" customHeight="1">
      <c r="C81" s="110" t="s">
        <v>458</v>
      </c>
    </row>
    <row r="82" spans="3:3" ht="15.75" customHeight="1"/>
    <row r="83" spans="3:3" ht="15.75" customHeight="1"/>
  </sheetData>
  <mergeCells count="11">
    <mergeCell ref="B76:G76"/>
    <mergeCell ref="B77:G77"/>
    <mergeCell ref="B78:G78"/>
    <mergeCell ref="B79:G79"/>
    <mergeCell ref="B2:H2"/>
    <mergeCell ref="B3:B4"/>
    <mergeCell ref="C3:C4"/>
    <mergeCell ref="D3:D4"/>
    <mergeCell ref="E3:E4"/>
    <mergeCell ref="F3:F4"/>
    <mergeCell ref="G3:H3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28" zoomScale="90" zoomScaleNormal="100" zoomScaleSheetLayoutView="90" workbookViewId="0">
      <selection activeCell="C39" sqref="C39"/>
    </sheetView>
  </sheetViews>
  <sheetFormatPr defaultRowHeight="15"/>
  <cols>
    <col min="1" max="2" width="9.140625" style="93"/>
    <col min="3" max="3" width="17.28515625" style="93" customWidth="1"/>
    <col min="4" max="4" width="11.7109375" style="93" customWidth="1"/>
    <col min="5" max="5" width="10.85546875" style="93" customWidth="1"/>
    <col min="6" max="6" width="11.7109375" style="93" customWidth="1"/>
    <col min="7" max="7" width="12.28515625" style="93" customWidth="1"/>
    <col min="8" max="8" width="10.5703125" style="93" customWidth="1"/>
    <col min="9" max="9" width="14.5703125" style="93" customWidth="1"/>
    <col min="10" max="16384" width="9.140625" style="93"/>
  </cols>
  <sheetData>
    <row r="1" spans="1:10" ht="34.9" customHeight="1">
      <c r="A1" s="90"/>
      <c r="B1" s="91"/>
      <c r="C1" s="90"/>
      <c r="D1" s="91"/>
      <c r="E1" s="91"/>
      <c r="F1" s="91"/>
      <c r="G1" s="92"/>
      <c r="H1" s="92"/>
      <c r="I1" s="92"/>
      <c r="J1" s="90"/>
    </row>
    <row r="2" spans="1:10" ht="47.25" customHeight="1">
      <c r="A2" s="90"/>
      <c r="B2" s="231" t="s">
        <v>420</v>
      </c>
      <c r="C2" s="231"/>
      <c r="D2" s="231"/>
      <c r="E2" s="231"/>
      <c r="F2" s="231"/>
      <c r="G2" s="231"/>
      <c r="H2" s="231"/>
      <c r="I2" s="231"/>
      <c r="J2" s="90"/>
    </row>
    <row r="3" spans="1:10" ht="36">
      <c r="A3" s="90"/>
      <c r="B3" s="230" t="s">
        <v>316</v>
      </c>
      <c r="C3" s="230" t="s">
        <v>421</v>
      </c>
      <c r="D3" s="230" t="s">
        <v>422</v>
      </c>
      <c r="E3" s="230" t="s">
        <v>210</v>
      </c>
      <c r="F3" s="232" t="s">
        <v>423</v>
      </c>
      <c r="G3" s="94" t="s">
        <v>424</v>
      </c>
      <c r="H3" s="231" t="s">
        <v>425</v>
      </c>
      <c r="I3" s="94" t="s">
        <v>426</v>
      </c>
      <c r="J3" s="90"/>
    </row>
    <row r="4" spans="1:10">
      <c r="A4" s="90"/>
      <c r="B4" s="230"/>
      <c r="C4" s="230"/>
      <c r="D4" s="230"/>
      <c r="E4" s="230"/>
      <c r="F4" s="233"/>
      <c r="G4" s="94" t="s">
        <v>427</v>
      </c>
      <c r="H4" s="231"/>
      <c r="I4" s="94" t="s">
        <v>211</v>
      </c>
      <c r="J4" s="90"/>
    </row>
    <row r="5" spans="1:10" ht="48">
      <c r="A5" s="90"/>
      <c r="B5" s="72">
        <v>1</v>
      </c>
      <c r="C5" s="71" t="s">
        <v>428</v>
      </c>
      <c r="D5" s="72" t="s">
        <v>321</v>
      </c>
      <c r="E5" s="72">
        <v>15</v>
      </c>
      <c r="F5" s="72" t="s">
        <v>429</v>
      </c>
      <c r="G5" s="95">
        <v>678</v>
      </c>
      <c r="H5" s="73">
        <v>60</v>
      </c>
      <c r="I5" s="95">
        <f>E5*G5/H5</f>
        <v>169.5</v>
      </c>
      <c r="J5" s="90"/>
    </row>
    <row r="6" spans="1:10" ht="72">
      <c r="A6" s="90"/>
      <c r="B6" s="72">
        <v>2</v>
      </c>
      <c r="C6" s="71" t="s">
        <v>122</v>
      </c>
      <c r="D6" s="72" t="s">
        <v>321</v>
      </c>
      <c r="E6" s="72">
        <v>50</v>
      </c>
      <c r="F6" s="72" t="s">
        <v>397</v>
      </c>
      <c r="G6" s="95">
        <v>230</v>
      </c>
      <c r="H6" s="73">
        <v>36</v>
      </c>
      <c r="I6" s="95">
        <f t="shared" ref="I6:I28" si="0">E6*G6/H6</f>
        <v>319.44444444444446</v>
      </c>
      <c r="J6" s="90"/>
    </row>
    <row r="7" spans="1:10" ht="48">
      <c r="A7" s="90"/>
      <c r="B7" s="72">
        <v>3</v>
      </c>
      <c r="C7" s="71" t="s">
        <v>430</v>
      </c>
      <c r="D7" s="72" t="s">
        <v>321</v>
      </c>
      <c r="E7" s="72">
        <v>7</v>
      </c>
      <c r="F7" s="72" t="s">
        <v>397</v>
      </c>
      <c r="G7" s="95">
        <v>462.7</v>
      </c>
      <c r="H7" s="73">
        <v>36</v>
      </c>
      <c r="I7" s="95">
        <f t="shared" si="0"/>
        <v>89.969444444444449</v>
      </c>
      <c r="J7" s="90"/>
    </row>
    <row r="8" spans="1:10" ht="168">
      <c r="A8" s="90"/>
      <c r="B8" s="72">
        <v>4</v>
      </c>
      <c r="C8" s="71" t="s">
        <v>140</v>
      </c>
      <c r="D8" s="72" t="s">
        <v>321</v>
      </c>
      <c r="E8" s="72">
        <v>20</v>
      </c>
      <c r="F8" s="72" t="s">
        <v>397</v>
      </c>
      <c r="G8" s="95">
        <v>468.94</v>
      </c>
      <c r="H8" s="73">
        <v>60</v>
      </c>
      <c r="I8" s="95">
        <f t="shared" si="0"/>
        <v>156.31333333333333</v>
      </c>
      <c r="J8" s="90"/>
    </row>
    <row r="9" spans="1:10" ht="24">
      <c r="A9" s="90"/>
      <c r="B9" s="72">
        <v>5</v>
      </c>
      <c r="C9" s="71" t="s">
        <v>142</v>
      </c>
      <c r="D9" s="72" t="s">
        <v>321</v>
      </c>
      <c r="E9" s="72">
        <v>15</v>
      </c>
      <c r="F9" s="72" t="s">
        <v>431</v>
      </c>
      <c r="G9" s="95">
        <v>10.19</v>
      </c>
      <c r="H9" s="73">
        <v>12</v>
      </c>
      <c r="I9" s="95">
        <f t="shared" si="0"/>
        <v>12.737499999999999</v>
      </c>
      <c r="J9" s="90"/>
    </row>
    <row r="10" spans="1:10" ht="72">
      <c r="A10" s="90"/>
      <c r="B10" s="72">
        <v>6</v>
      </c>
      <c r="C10" s="71" t="s">
        <v>146</v>
      </c>
      <c r="D10" s="72" t="s">
        <v>321</v>
      </c>
      <c r="E10" s="72">
        <v>4</v>
      </c>
      <c r="F10" s="72" t="s">
        <v>397</v>
      </c>
      <c r="G10" s="95">
        <v>244.05</v>
      </c>
      <c r="H10" s="73">
        <v>60</v>
      </c>
      <c r="I10" s="95">
        <f t="shared" si="0"/>
        <v>16.27</v>
      </c>
      <c r="J10" s="90"/>
    </row>
    <row r="11" spans="1:10" ht="120">
      <c r="A11" s="90"/>
      <c r="B11" s="72">
        <v>7</v>
      </c>
      <c r="C11" s="71" t="s">
        <v>432</v>
      </c>
      <c r="D11" s="72" t="s">
        <v>321</v>
      </c>
      <c r="E11" s="72">
        <v>8</v>
      </c>
      <c r="F11" s="72" t="s">
        <v>397</v>
      </c>
      <c r="G11" s="95">
        <v>1362</v>
      </c>
      <c r="H11" s="73">
        <v>60</v>
      </c>
      <c r="I11" s="95">
        <f t="shared" si="0"/>
        <v>181.6</v>
      </c>
      <c r="J11" s="90"/>
    </row>
    <row r="12" spans="1:10" ht="36">
      <c r="A12" s="90"/>
      <c r="B12" s="72">
        <v>8</v>
      </c>
      <c r="C12" s="71" t="s">
        <v>110</v>
      </c>
      <c r="D12" s="72" t="s">
        <v>321</v>
      </c>
      <c r="E12" s="72">
        <v>160</v>
      </c>
      <c r="F12" s="72" t="s">
        <v>433</v>
      </c>
      <c r="G12" s="95">
        <v>16.55</v>
      </c>
      <c r="H12" s="73">
        <v>12</v>
      </c>
      <c r="I12" s="95">
        <f t="shared" si="0"/>
        <v>220.66666666666666</v>
      </c>
      <c r="J12" s="90"/>
    </row>
    <row r="13" spans="1:10" ht="24">
      <c r="A13" s="90"/>
      <c r="B13" s="72">
        <v>9</v>
      </c>
      <c r="C13" s="71" t="s">
        <v>111</v>
      </c>
      <c r="D13" s="72" t="s">
        <v>321</v>
      </c>
      <c r="E13" s="72">
        <v>80</v>
      </c>
      <c r="F13" s="72" t="s">
        <v>433</v>
      </c>
      <c r="G13" s="95">
        <v>57.77</v>
      </c>
      <c r="H13" s="73">
        <v>12</v>
      </c>
      <c r="I13" s="95">
        <f t="shared" si="0"/>
        <v>385.13333333333338</v>
      </c>
      <c r="J13" s="90"/>
    </row>
    <row r="14" spans="1:10" ht="24">
      <c r="A14" s="90"/>
      <c r="B14" s="72">
        <v>10</v>
      </c>
      <c r="C14" s="71" t="s">
        <v>434</v>
      </c>
      <c r="D14" s="72" t="s">
        <v>321</v>
      </c>
      <c r="E14" s="72">
        <v>150</v>
      </c>
      <c r="F14" s="72" t="s">
        <v>435</v>
      </c>
      <c r="G14" s="95">
        <v>25.23</v>
      </c>
      <c r="H14" s="73">
        <v>12</v>
      </c>
      <c r="I14" s="95">
        <f t="shared" si="0"/>
        <v>315.375</v>
      </c>
      <c r="J14" s="90"/>
    </row>
    <row r="15" spans="1:10" ht="48">
      <c r="A15" s="90"/>
      <c r="B15" s="73">
        <v>11</v>
      </c>
      <c r="C15" s="71" t="s">
        <v>436</v>
      </c>
      <c r="D15" s="73" t="s">
        <v>321</v>
      </c>
      <c r="E15" s="73">
        <v>40</v>
      </c>
      <c r="F15" s="72" t="s">
        <v>435</v>
      </c>
      <c r="G15" s="95">
        <v>20.48</v>
      </c>
      <c r="H15" s="73">
        <v>12</v>
      </c>
      <c r="I15" s="95">
        <f t="shared" si="0"/>
        <v>68.266666666666666</v>
      </c>
      <c r="J15" s="90"/>
    </row>
    <row r="16" spans="1:10" ht="36">
      <c r="A16" s="90"/>
      <c r="B16" s="73">
        <v>12</v>
      </c>
      <c r="C16" s="71" t="s">
        <v>437</v>
      </c>
      <c r="D16" s="73" t="s">
        <v>321</v>
      </c>
      <c r="E16" s="73">
        <v>170</v>
      </c>
      <c r="F16" s="72" t="s">
        <v>435</v>
      </c>
      <c r="G16" s="95">
        <v>21.9</v>
      </c>
      <c r="H16" s="73">
        <v>12</v>
      </c>
      <c r="I16" s="95">
        <f t="shared" si="0"/>
        <v>310.24999999999994</v>
      </c>
      <c r="J16" s="90"/>
    </row>
    <row r="17" spans="1:10" ht="24">
      <c r="A17" s="90"/>
      <c r="B17" s="73">
        <v>13</v>
      </c>
      <c r="C17" s="71" t="s">
        <v>438</v>
      </c>
      <c r="D17" s="73" t="s">
        <v>321</v>
      </c>
      <c r="E17" s="73">
        <v>180</v>
      </c>
      <c r="F17" s="72" t="s">
        <v>435</v>
      </c>
      <c r="G17" s="95">
        <v>25.37</v>
      </c>
      <c r="H17" s="73">
        <v>12</v>
      </c>
      <c r="I17" s="95">
        <f t="shared" si="0"/>
        <v>380.55</v>
      </c>
      <c r="J17" s="90"/>
    </row>
    <row r="18" spans="1:10" ht="60">
      <c r="A18" s="90"/>
      <c r="B18" s="73">
        <v>14</v>
      </c>
      <c r="C18" s="71" t="s">
        <v>439</v>
      </c>
      <c r="D18" s="73" t="s">
        <v>321</v>
      </c>
      <c r="E18" s="73">
        <v>20</v>
      </c>
      <c r="F18" s="73" t="s">
        <v>440</v>
      </c>
      <c r="G18" s="95">
        <v>1735</v>
      </c>
      <c r="H18" s="73">
        <v>60</v>
      </c>
      <c r="I18" s="95">
        <f t="shared" si="0"/>
        <v>578.33333333333337</v>
      </c>
      <c r="J18" s="90"/>
    </row>
    <row r="19" spans="1:10" ht="96">
      <c r="A19" s="90"/>
      <c r="B19" s="73">
        <v>15</v>
      </c>
      <c r="C19" s="71" t="s">
        <v>123</v>
      </c>
      <c r="D19" s="73" t="s">
        <v>321</v>
      </c>
      <c r="E19" s="73">
        <v>40</v>
      </c>
      <c r="F19" s="73" t="s">
        <v>441</v>
      </c>
      <c r="G19" s="95">
        <v>180</v>
      </c>
      <c r="H19" s="73">
        <v>60</v>
      </c>
      <c r="I19" s="95">
        <f t="shared" si="0"/>
        <v>120</v>
      </c>
      <c r="J19" s="90"/>
    </row>
    <row r="20" spans="1:10" ht="72">
      <c r="A20" s="90"/>
      <c r="B20" s="73">
        <v>16</v>
      </c>
      <c r="C20" s="71" t="s">
        <v>113</v>
      </c>
      <c r="D20" s="73" t="s">
        <v>321</v>
      </c>
      <c r="E20" s="73">
        <v>120</v>
      </c>
      <c r="F20" s="73" t="s">
        <v>397</v>
      </c>
      <c r="G20" s="95">
        <v>21.79</v>
      </c>
      <c r="H20" s="73">
        <v>12</v>
      </c>
      <c r="I20" s="95">
        <f t="shared" si="0"/>
        <v>217.89999999999998</v>
      </c>
      <c r="J20" s="90"/>
    </row>
    <row r="21" spans="1:10" ht="24">
      <c r="A21" s="90"/>
      <c r="B21" s="73">
        <v>17</v>
      </c>
      <c r="C21" s="71" t="s">
        <v>442</v>
      </c>
      <c r="D21" s="73" t="s">
        <v>321</v>
      </c>
      <c r="E21" s="73">
        <v>40</v>
      </c>
      <c r="F21" s="73" t="s">
        <v>443</v>
      </c>
      <c r="G21" s="95">
        <v>150</v>
      </c>
      <c r="H21" s="73">
        <v>36</v>
      </c>
      <c r="I21" s="95">
        <f t="shared" si="0"/>
        <v>166.66666666666666</v>
      </c>
      <c r="J21" s="90"/>
    </row>
    <row r="22" spans="1:10" ht="84">
      <c r="A22" s="90"/>
      <c r="B22" s="73">
        <v>18</v>
      </c>
      <c r="C22" s="71" t="s">
        <v>145</v>
      </c>
      <c r="D22" s="73" t="s">
        <v>321</v>
      </c>
      <c r="E22" s="73">
        <v>5</v>
      </c>
      <c r="F22" s="73" t="s">
        <v>397</v>
      </c>
      <c r="G22" s="95">
        <v>165.35</v>
      </c>
      <c r="H22" s="73">
        <v>24</v>
      </c>
      <c r="I22" s="95">
        <f t="shared" si="0"/>
        <v>34.447916666666664</v>
      </c>
      <c r="J22" s="90"/>
    </row>
    <row r="23" spans="1:10" ht="84">
      <c r="A23" s="90"/>
      <c r="B23" s="73">
        <v>19</v>
      </c>
      <c r="C23" s="71" t="s">
        <v>444</v>
      </c>
      <c r="D23" s="73" t="s">
        <v>321</v>
      </c>
      <c r="E23" s="73">
        <v>15</v>
      </c>
      <c r="F23" s="73" t="s">
        <v>445</v>
      </c>
      <c r="G23" s="95">
        <v>820</v>
      </c>
      <c r="H23" s="73">
        <v>60</v>
      </c>
      <c r="I23" s="95">
        <f t="shared" si="0"/>
        <v>205</v>
      </c>
      <c r="J23" s="90"/>
    </row>
    <row r="24" spans="1:10" ht="120">
      <c r="A24" s="90"/>
      <c r="B24" s="73">
        <v>20</v>
      </c>
      <c r="C24" s="71" t="s">
        <v>144</v>
      </c>
      <c r="D24" s="73" t="s">
        <v>321</v>
      </c>
      <c r="E24" s="73">
        <v>30</v>
      </c>
      <c r="F24" s="73" t="s">
        <v>397</v>
      </c>
      <c r="G24" s="95">
        <v>28.04</v>
      </c>
      <c r="H24" s="73">
        <v>12</v>
      </c>
      <c r="I24" s="95">
        <f t="shared" si="0"/>
        <v>70.099999999999994</v>
      </c>
      <c r="J24" s="90"/>
    </row>
    <row r="25" spans="1:10" ht="60">
      <c r="A25" s="90"/>
      <c r="B25" s="73">
        <v>21</v>
      </c>
      <c r="C25" s="71" t="s">
        <v>446</v>
      </c>
      <c r="D25" s="73" t="s">
        <v>321</v>
      </c>
      <c r="E25" s="73">
        <v>20</v>
      </c>
      <c r="F25" s="73" t="s">
        <v>443</v>
      </c>
      <c r="G25" s="95">
        <v>145</v>
      </c>
      <c r="H25" s="73">
        <v>36</v>
      </c>
      <c r="I25" s="95">
        <f t="shared" si="0"/>
        <v>80.555555555555557</v>
      </c>
      <c r="J25" s="90"/>
    </row>
    <row r="26" spans="1:10" ht="60">
      <c r="A26" s="90"/>
      <c r="B26" s="73">
        <v>22</v>
      </c>
      <c r="C26" s="71" t="s">
        <v>447</v>
      </c>
      <c r="D26" s="73" t="s">
        <v>321</v>
      </c>
      <c r="E26" s="73">
        <v>120</v>
      </c>
      <c r="F26" s="73" t="s">
        <v>397</v>
      </c>
      <c r="G26" s="95">
        <v>35.5</v>
      </c>
      <c r="H26" s="73">
        <v>36</v>
      </c>
      <c r="I26" s="95">
        <f t="shared" si="0"/>
        <v>118.33333333333333</v>
      </c>
      <c r="J26" s="90"/>
    </row>
    <row r="27" spans="1:10" ht="48.6" customHeight="1">
      <c r="A27" s="90"/>
      <c r="B27" s="73">
        <v>23</v>
      </c>
      <c r="C27" s="71" t="s">
        <v>128</v>
      </c>
      <c r="D27" s="73" t="s">
        <v>321</v>
      </c>
      <c r="E27" s="73">
        <v>6</v>
      </c>
      <c r="F27" s="73" t="s">
        <v>448</v>
      </c>
      <c r="G27" s="95">
        <v>1419</v>
      </c>
      <c r="H27" s="73">
        <v>60</v>
      </c>
      <c r="I27" s="95">
        <f>E27*G27/H27</f>
        <v>141.9</v>
      </c>
      <c r="J27" s="90"/>
    </row>
    <row r="28" spans="1:10" ht="96">
      <c r="A28" s="90"/>
      <c r="B28" s="73">
        <v>24</v>
      </c>
      <c r="C28" s="71" t="s">
        <v>143</v>
      </c>
      <c r="D28" s="73" t="s">
        <v>321</v>
      </c>
      <c r="E28" s="73">
        <v>10</v>
      </c>
      <c r="F28" s="73" t="s">
        <v>333</v>
      </c>
      <c r="G28" s="95">
        <v>1646.5</v>
      </c>
      <c r="H28" s="73">
        <v>60</v>
      </c>
      <c r="I28" s="95">
        <f t="shared" si="0"/>
        <v>274.41666666666669</v>
      </c>
      <c r="J28" s="90"/>
    </row>
    <row r="29" spans="1:10" ht="15.75" customHeight="1">
      <c r="A29" s="90"/>
      <c r="B29" s="230" t="s">
        <v>209</v>
      </c>
      <c r="C29" s="230"/>
      <c r="D29" s="230"/>
      <c r="E29" s="230"/>
      <c r="F29" s="230"/>
      <c r="G29" s="230"/>
      <c r="H29" s="230"/>
      <c r="I29" s="96">
        <f>SUM(I5:I28)*12</f>
        <v>55604.758333333331</v>
      </c>
      <c r="J29" s="90"/>
    </row>
    <row r="30" spans="1:10" ht="15.75" customHeight="1">
      <c r="A30" s="90"/>
      <c r="B30" s="230" t="s">
        <v>419</v>
      </c>
      <c r="C30" s="230"/>
      <c r="D30" s="230"/>
      <c r="E30" s="230"/>
      <c r="F30" s="230"/>
      <c r="G30" s="230"/>
      <c r="H30" s="230"/>
      <c r="I30" s="95">
        <f>I29/12</f>
        <v>4633.7298611111109</v>
      </c>
      <c r="J30" s="97"/>
    </row>
    <row r="31" spans="1:10" ht="15.75" customHeight="1">
      <c r="A31" s="90"/>
      <c r="B31" s="230" t="s">
        <v>451</v>
      </c>
      <c r="C31" s="230"/>
      <c r="D31" s="230"/>
      <c r="E31" s="230"/>
      <c r="F31" s="230"/>
      <c r="G31" s="230"/>
      <c r="H31" s="230"/>
      <c r="I31" s="95">
        <f>I30/'Campus,Cs Est, Museu,CAUA 1 800'!P132</f>
        <v>17.398589116914184</v>
      </c>
      <c r="J31" s="90"/>
    </row>
    <row r="32" spans="1:10" ht="15.75" customHeight="1">
      <c r="A32" s="90"/>
      <c r="B32" s="230" t="s">
        <v>454</v>
      </c>
      <c r="C32" s="230"/>
      <c r="D32" s="230"/>
      <c r="E32" s="230"/>
      <c r="F32" s="230"/>
      <c r="G32" s="230"/>
      <c r="H32" s="230"/>
      <c r="I32" s="98">
        <f>I30/'Campus,Cs Est, Museu,CAUA1 1200'!P132</f>
        <v>25.002336434307676</v>
      </c>
      <c r="J32" s="90"/>
    </row>
    <row r="33" spans="2:8" ht="15.75">
      <c r="B33" s="235" t="s">
        <v>212</v>
      </c>
      <c r="C33" s="235"/>
      <c r="D33" s="99"/>
      <c r="E33" s="99"/>
      <c r="F33" s="99"/>
      <c r="G33" s="99"/>
      <c r="H33" s="99"/>
    </row>
    <row r="34" spans="2:8" ht="15.75">
      <c r="B34" s="234" t="s">
        <v>213</v>
      </c>
      <c r="C34" s="234"/>
      <c r="D34" s="234"/>
      <c r="E34" s="234"/>
      <c r="F34" s="234"/>
      <c r="G34" s="234"/>
      <c r="H34" s="234"/>
    </row>
    <row r="35" spans="2:8" ht="15.75">
      <c r="B35" s="234" t="s">
        <v>214</v>
      </c>
      <c r="C35" s="234"/>
      <c r="D35" s="234"/>
      <c r="E35" s="234"/>
      <c r="F35" s="234"/>
      <c r="G35" s="234"/>
      <c r="H35" s="234"/>
    </row>
    <row r="36" spans="2:8" ht="15.75">
      <c r="B36" s="234" t="s">
        <v>215</v>
      </c>
      <c r="C36" s="234"/>
      <c r="D36" s="234"/>
      <c r="E36" s="234"/>
      <c r="F36" s="234"/>
      <c r="G36" s="234"/>
      <c r="H36" s="234"/>
    </row>
    <row r="37" spans="2:8" ht="15.75">
      <c r="B37" s="234" t="s">
        <v>216</v>
      </c>
      <c r="C37" s="234"/>
      <c r="D37" s="234"/>
      <c r="E37" s="234"/>
      <c r="F37" s="234"/>
      <c r="G37" s="234"/>
      <c r="H37" s="234"/>
    </row>
    <row r="38" spans="2:8" ht="15.75">
      <c r="B38" s="234" t="s">
        <v>217</v>
      </c>
      <c r="C38" s="234"/>
      <c r="D38" s="234"/>
      <c r="E38" s="234"/>
      <c r="F38" s="234"/>
      <c r="G38" s="234"/>
      <c r="H38" s="234"/>
    </row>
    <row r="39" spans="2:8">
      <c r="C39" s="110" t="s">
        <v>458</v>
      </c>
    </row>
  </sheetData>
  <mergeCells count="17">
    <mergeCell ref="B29:H29"/>
    <mergeCell ref="B30:H30"/>
    <mergeCell ref="B31:H31"/>
    <mergeCell ref="B32:H32"/>
    <mergeCell ref="B2:I2"/>
    <mergeCell ref="B3:B4"/>
    <mergeCell ref="C3:C4"/>
    <mergeCell ref="D3:D4"/>
    <mergeCell ref="E3:E4"/>
    <mergeCell ref="F3:F4"/>
    <mergeCell ref="H3:H4"/>
    <mergeCell ref="B36:H36"/>
    <mergeCell ref="B37:H37"/>
    <mergeCell ref="B38:H38"/>
    <mergeCell ref="B33:C33"/>
    <mergeCell ref="B34:H34"/>
    <mergeCell ref="B35:H35"/>
  </mergeCells>
  <pageMargins left="0.511811024" right="0.511811024" top="0.78740157499999996" bottom="0.78740157499999996" header="0.31496062000000002" footer="0.31496062000000002"/>
  <pageSetup paperSize="9" scale="85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84"/>
  <sheetViews>
    <sheetView topLeftCell="A169" zoomScaleNormal="100" workbookViewId="0">
      <selection activeCell="J92" sqref="J92"/>
    </sheetView>
  </sheetViews>
  <sheetFormatPr defaultRowHeight="15"/>
  <cols>
    <col min="1" max="1" width="12.5703125" style="110" customWidth="1"/>
    <col min="2" max="2" width="62.5703125" style="110" customWidth="1"/>
    <col min="3" max="3" width="18" style="110" customWidth="1"/>
    <col min="4" max="4" width="16.42578125" style="110" customWidth="1"/>
    <col min="5" max="5" width="18.710937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">
        <v>452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1450</v>
      </c>
      <c r="D24" s="178"/>
      <c r="E24" s="178"/>
    </row>
    <row r="25" spans="1:5" ht="31.9" customHeight="1">
      <c r="A25" s="123">
        <v>3</v>
      </c>
      <c r="B25" s="127" t="s">
        <v>224</v>
      </c>
      <c r="C25" s="179" t="s">
        <v>310</v>
      </c>
      <c r="D25" s="179"/>
      <c r="E25" s="179"/>
    </row>
    <row r="26" spans="1:5">
      <c r="A26" s="123">
        <v>4</v>
      </c>
      <c r="B26" s="127" t="s">
        <v>226</v>
      </c>
      <c r="C26" s="180" t="s">
        <v>453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232</v>
      </c>
      <c r="C35" s="132"/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1450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120.83333333333333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161.11111111111109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281.9444444444444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346.38888888888891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43.298611111111114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51.958333333333329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25.979166666666664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17.319444444444443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10.391666666666666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3.4638888888888886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138.55555555555554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637.35555555555561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281.9444444444444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637.35555555555561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1566.3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 customHeight="1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10.573499999999999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0.84587999999999997</v>
      </c>
      <c r="D89" s="187"/>
      <c r="E89" s="187"/>
    </row>
    <row r="90" spans="1:5" ht="32.25" thickBot="1">
      <c r="A90" s="130" t="s">
        <v>190</v>
      </c>
      <c r="B90" s="137" t="s">
        <v>269</v>
      </c>
      <c r="C90" s="132">
        <f>4.35%*C39</f>
        <v>63.074999999999996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58.516220000000004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10.295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4.6812976000000006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147.98689759999999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21.83357959344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4.7464303464000004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0.63285737951999999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4.7464303464000004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1.7720006626560001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33.731298328416003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33.731298328416003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33.731298328416003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'!H78</f>
        <v>301.39405754542719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Equipamentos!I31</f>
        <v>17.398589116914184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341.92681332900804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106.19835027772271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247.57313411243643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4262.4154281856408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27.705700283206664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127.87246284556922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213.12077140928204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722.47041892821699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1450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1566.3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147.98689759999999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33.731298328416003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341.92681332900804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3539.9450092574239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722.47041892821699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4262.4154281856408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9"/>
      <c r="B171" s="119"/>
      <c r="C171" s="119"/>
      <c r="D171" s="119"/>
      <c r="E171" s="119"/>
    </row>
    <row r="172" spans="1:5">
      <c r="A172" s="110" t="s">
        <v>458</v>
      </c>
    </row>
    <row r="174" spans="1:5" ht="15.75">
      <c r="A174" s="112"/>
      <c r="B174" s="112"/>
      <c r="C174" s="113"/>
      <c r="D174" s="152"/>
      <c r="E174" s="119"/>
    </row>
    <row r="175" spans="1:5" ht="15.75">
      <c r="A175" s="151"/>
      <c r="B175" s="151"/>
      <c r="C175" s="152"/>
      <c r="D175" s="152"/>
      <c r="E175" s="119"/>
    </row>
    <row r="176" spans="1:5" ht="15.75">
      <c r="A176" s="119"/>
      <c r="B176" s="119"/>
      <c r="C176" s="152"/>
      <c r="D176" s="152"/>
      <c r="E176" s="119"/>
    </row>
    <row r="177" spans="1:5" ht="15.75">
      <c r="A177" s="153"/>
      <c r="B177" s="151"/>
      <c r="C177" s="152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4"/>
  <sheetViews>
    <sheetView topLeftCell="A175" zoomScaleNormal="100" workbookViewId="0">
      <selection activeCell="A172" sqref="A172"/>
    </sheetView>
  </sheetViews>
  <sheetFormatPr defaultRowHeight="15"/>
  <cols>
    <col min="1" max="1" width="12.5703125" style="110" customWidth="1"/>
    <col min="2" max="2" width="61.140625" style="110" customWidth="1"/>
    <col min="3" max="3" width="18" style="110" customWidth="1"/>
    <col min="4" max="4" width="17.140625" style="110" customWidth="1"/>
    <col min="5" max="5" width="18.710937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tr">
        <f>'Aux Limpeza 800m'!C11:E11</f>
        <v>AM000563/2023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9">
      <c r="A17" s="173"/>
      <c r="B17" s="123" t="s">
        <v>199</v>
      </c>
      <c r="C17" s="166" t="s">
        <v>201</v>
      </c>
      <c r="D17" s="166"/>
      <c r="E17" s="185"/>
    </row>
    <row r="18" spans="1:9" ht="14.45" customHeight="1">
      <c r="A18" s="173"/>
      <c r="B18" s="123" t="s">
        <v>199</v>
      </c>
      <c r="C18" s="166" t="s">
        <v>202</v>
      </c>
      <c r="D18" s="166"/>
      <c r="E18" s="185"/>
    </row>
    <row r="19" spans="1:9" ht="14.45" customHeight="1">
      <c r="A19" s="174"/>
      <c r="B19" s="123" t="s">
        <v>199</v>
      </c>
      <c r="C19" s="168" t="s">
        <v>203</v>
      </c>
      <c r="D19" s="169"/>
      <c r="E19" s="186"/>
    </row>
    <row r="20" spans="1:9">
      <c r="A20" s="125"/>
      <c r="B20" s="125"/>
      <c r="C20" s="125"/>
      <c r="D20" s="125"/>
      <c r="E20" s="125"/>
    </row>
    <row r="21" spans="1:9" ht="15.75">
      <c r="A21" s="170" t="s">
        <v>220</v>
      </c>
      <c r="B21" s="170"/>
      <c r="C21" s="170"/>
      <c r="D21" s="170"/>
      <c r="E21" s="170"/>
    </row>
    <row r="22" spans="1:9">
      <c r="A22" s="175" t="s">
        <v>221</v>
      </c>
      <c r="B22" s="176"/>
      <c r="C22" s="176"/>
      <c r="D22" s="176"/>
      <c r="E22" s="177"/>
    </row>
    <row r="23" spans="1:9">
      <c r="A23" s="123">
        <v>1</v>
      </c>
      <c r="B23" s="126" t="s">
        <v>222</v>
      </c>
      <c r="C23" s="171" t="s">
        <v>198</v>
      </c>
      <c r="D23" s="171"/>
      <c r="E23" s="171"/>
    </row>
    <row r="24" spans="1:9">
      <c r="A24" s="123">
        <v>2</v>
      </c>
      <c r="B24" s="127" t="s">
        <v>223</v>
      </c>
      <c r="C24" s="178">
        <v>1450</v>
      </c>
      <c r="D24" s="178"/>
      <c r="E24" s="178"/>
    </row>
    <row r="25" spans="1:9" ht="33" customHeight="1">
      <c r="A25" s="123">
        <v>3</v>
      </c>
      <c r="B25" s="127" t="s">
        <v>224</v>
      </c>
      <c r="C25" s="179" t="s">
        <v>309</v>
      </c>
      <c r="D25" s="179"/>
      <c r="E25" s="179"/>
    </row>
    <row r="26" spans="1:9">
      <c r="A26" s="123">
        <v>4</v>
      </c>
      <c r="B26" s="127" t="s">
        <v>226</v>
      </c>
      <c r="C26" s="180" t="str">
        <f>'Aux Limpeza 800m'!C26:E26</f>
        <v>01.01.2024</v>
      </c>
      <c r="D26" s="180"/>
      <c r="E26" s="180"/>
    </row>
    <row r="27" spans="1:9" ht="15.75">
      <c r="A27" s="121"/>
      <c r="B27" s="121"/>
      <c r="C27" s="121"/>
      <c r="D27" s="121"/>
      <c r="E27" s="119"/>
    </row>
    <row r="28" spans="1:9" ht="15.75">
      <c r="A28" s="119"/>
      <c r="B28" s="119"/>
      <c r="C28" s="119"/>
      <c r="D28" s="119"/>
      <c r="E28" s="119"/>
    </row>
    <row r="29" spans="1:9" ht="15.75">
      <c r="A29" s="119"/>
      <c r="B29" s="119"/>
      <c r="C29" s="119"/>
      <c r="D29" s="119"/>
      <c r="E29" s="119"/>
      <c r="I29" s="155"/>
    </row>
    <row r="30" spans="1:9" ht="15.75">
      <c r="A30" s="160" t="s">
        <v>227</v>
      </c>
      <c r="B30" s="160"/>
      <c r="C30" s="160"/>
      <c r="D30" s="119"/>
      <c r="E30" s="119"/>
    </row>
    <row r="31" spans="1:9" ht="16.5" thickBot="1">
      <c r="A31" s="119"/>
      <c r="B31" s="119"/>
      <c r="C31" s="119"/>
      <c r="D31" s="119"/>
      <c r="E31" s="119"/>
    </row>
    <row r="32" spans="1:9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306</v>
      </c>
      <c r="C35" s="132">
        <f>1412*20%</f>
        <v>282.40000000000003</v>
      </c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1732.4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144.36666666666667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192.48888888888888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336.85555555555555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413.85111111111109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51.731388888888887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62.077666666666659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31.038833333333329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20.692555555555554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12.415533333333332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4.1385111111111108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165.54044444444443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761.48604444444447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336.85555555555555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761.48604444444447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1745.3416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12.103543199999999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0.96828345599999999</v>
      </c>
      <c r="D89" s="187"/>
      <c r="E89" s="187"/>
    </row>
    <row r="90" spans="1:5" ht="32.25" thickBot="1">
      <c r="A90" s="130" t="s">
        <v>190</v>
      </c>
      <c r="B90" s="137" t="s">
        <v>269</v>
      </c>
      <c r="C90" s="132">
        <f>4.35%*C39</f>
        <v>75.359399999999994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67.468187040000004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12.300039999999999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5.3974549632000004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173.59690865920001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25.194235709748479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5.4770077629888005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0.73026770173184008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5.4770077629888005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2.0447495648491523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38.923268502307074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38.923268502307074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38.923268502307074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'!H78</f>
        <v>301.39405754542719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Equipamentos!I31</f>
        <v>17.398589116914184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341.92681332900804</v>
      </c>
      <c r="D144" s="119"/>
      <c r="E144" s="119"/>
    </row>
    <row r="145" spans="1:9" ht="15.75">
      <c r="A145" s="119"/>
      <c r="B145" s="119"/>
      <c r="C145" s="119"/>
      <c r="D145" s="119"/>
      <c r="E145" s="119"/>
    </row>
    <row r="146" spans="1:9" ht="15.75">
      <c r="A146" s="119"/>
      <c r="B146" s="119"/>
      <c r="C146" s="119"/>
      <c r="D146" s="119"/>
      <c r="E146" s="119"/>
    </row>
    <row r="147" spans="1:9" ht="15.75">
      <c r="A147" s="160" t="s">
        <v>297</v>
      </c>
      <c r="B147" s="160"/>
      <c r="C147" s="160"/>
      <c r="D147" s="119"/>
      <c r="E147" s="119"/>
    </row>
    <row r="148" spans="1:9" ht="16.5" thickBot="1">
      <c r="A148" s="119"/>
      <c r="B148" s="119"/>
      <c r="C148" s="119"/>
      <c r="D148" s="119"/>
      <c r="E148" s="119"/>
    </row>
    <row r="149" spans="1:9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9" ht="16.5" thickBot="1">
      <c r="A150" s="130" t="s">
        <v>185</v>
      </c>
      <c r="B150" s="131" t="s">
        <v>137</v>
      </c>
      <c r="C150" s="147">
        <v>0.03</v>
      </c>
      <c r="D150" s="132">
        <f>C167*C150</f>
        <v>120.96565771471545</v>
      </c>
      <c r="E150" s="119"/>
    </row>
    <row r="151" spans="1:9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281.9991734531352</v>
      </c>
      <c r="E151" s="119"/>
    </row>
    <row r="152" spans="1:9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4855.1214249133727</v>
      </c>
    </row>
    <row r="153" spans="1:9" ht="16.5" thickBot="1">
      <c r="A153" s="130"/>
      <c r="B153" s="131" t="s">
        <v>298</v>
      </c>
      <c r="C153" s="147">
        <v>6.4999999999999997E-3</v>
      </c>
      <c r="D153" s="132">
        <f>$E$152*C153</f>
        <v>31.55828926193692</v>
      </c>
      <c r="E153" s="119"/>
      <c r="I153" s="110">
        <f>200*20</f>
        <v>4000</v>
      </c>
    </row>
    <row r="154" spans="1:9" ht="16.5" thickBot="1">
      <c r="A154" s="130"/>
      <c r="B154" s="131" t="s">
        <v>299</v>
      </c>
      <c r="C154" s="147">
        <v>0.03</v>
      </c>
      <c r="D154" s="132">
        <f>$E$152*C154</f>
        <v>145.65364274740116</v>
      </c>
      <c r="E154" s="119"/>
    </row>
    <row r="155" spans="1:9" ht="16.5" thickBot="1">
      <c r="A155" s="130"/>
      <c r="B155" s="131" t="s">
        <v>300</v>
      </c>
      <c r="C155" s="147">
        <v>0.05</v>
      </c>
      <c r="D155" s="132">
        <f t="shared" ref="D155" si="2">$E$152*C155</f>
        <v>242.75607124566864</v>
      </c>
      <c r="E155" s="119"/>
    </row>
    <row r="156" spans="1:9" ht="16.5" thickBot="1">
      <c r="A156" s="158" t="s">
        <v>255</v>
      </c>
      <c r="B156" s="159"/>
      <c r="C156" s="134">
        <v>0.30449999999999999</v>
      </c>
      <c r="D156" s="132">
        <f>SUM(D150:D155)</f>
        <v>822.93283442285735</v>
      </c>
      <c r="E156" s="135"/>
    </row>
    <row r="157" spans="1:9" ht="15.75">
      <c r="A157" s="119"/>
      <c r="B157" s="119"/>
      <c r="C157" s="119"/>
      <c r="D157" s="135"/>
      <c r="E157" s="119"/>
    </row>
    <row r="158" spans="1:9" ht="15.75">
      <c r="A158" s="119"/>
      <c r="B158" s="119"/>
      <c r="C158" s="119"/>
      <c r="D158" s="119"/>
      <c r="E158" s="119"/>
    </row>
    <row r="159" spans="1:9" ht="15.75">
      <c r="A159" s="160" t="s">
        <v>301</v>
      </c>
      <c r="B159" s="160"/>
      <c r="C159" s="160"/>
      <c r="D159" s="119"/>
      <c r="E159" s="119"/>
    </row>
    <row r="160" spans="1:9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1732.4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1745.3416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173.59690865920001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38.923268502307074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341.92681332900804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4032.1885904905153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822.93283442285735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4855.1214249133727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9"/>
      <c r="B171" s="119"/>
      <c r="C171" s="119"/>
      <c r="D171" s="119"/>
      <c r="E171" s="119"/>
    </row>
    <row r="172" spans="1:5">
      <c r="A172" s="110" t="s">
        <v>458</v>
      </c>
    </row>
    <row r="174" spans="1:5" ht="15.75">
      <c r="A174" s="112"/>
      <c r="B174" s="112"/>
      <c r="C174" s="113"/>
      <c r="D174" s="152"/>
      <c r="E174" s="119"/>
    </row>
    <row r="175" spans="1:5" ht="15.75">
      <c r="A175" s="151"/>
      <c r="B175" s="151"/>
      <c r="C175" s="152"/>
      <c r="D175" s="152"/>
      <c r="E175" s="119"/>
    </row>
    <row r="176" spans="1:5" ht="15.75">
      <c r="A176" s="119"/>
      <c r="B176" s="119"/>
      <c r="C176" s="152"/>
      <c r="D176" s="152"/>
      <c r="E176" s="119"/>
    </row>
    <row r="177" spans="1:5" ht="15.75">
      <c r="A177" s="153"/>
      <c r="B177" s="151"/>
      <c r="C177" s="152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4"/>
  <sheetViews>
    <sheetView topLeftCell="A142" zoomScaleNormal="100" workbookViewId="0">
      <selection activeCell="A171" sqref="A171"/>
    </sheetView>
  </sheetViews>
  <sheetFormatPr defaultRowHeight="15"/>
  <cols>
    <col min="1" max="1" width="12.5703125" style="110" customWidth="1"/>
    <col min="2" max="2" width="64" style="110" customWidth="1"/>
    <col min="3" max="3" width="18" style="110" customWidth="1"/>
    <col min="4" max="4" width="16.42578125" style="110" customWidth="1"/>
    <col min="5" max="5" width="18.8554687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tr">
        <f>'Aux Limpeza 800m'!C11:E11</f>
        <v>AM000563/2023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1450</v>
      </c>
      <c r="D24" s="178"/>
      <c r="E24" s="178"/>
    </row>
    <row r="25" spans="1:5" ht="33" customHeight="1">
      <c r="A25" s="123">
        <v>3</v>
      </c>
      <c r="B25" s="127" t="s">
        <v>224</v>
      </c>
      <c r="C25" s="179" t="s">
        <v>308</v>
      </c>
      <c r="D25" s="179"/>
      <c r="E25" s="179"/>
    </row>
    <row r="26" spans="1:5">
      <c r="A26" s="123">
        <v>4</v>
      </c>
      <c r="B26" s="127" t="s">
        <v>226</v>
      </c>
      <c r="C26" s="180" t="str">
        <f>'Aux Limpeza 800m'!C26:E26</f>
        <v>01.01.2024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307</v>
      </c>
      <c r="C35" s="132">
        <f>1412*40%</f>
        <v>564.80000000000007</v>
      </c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2014.8000000000002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167.9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223.86666666666667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391.76666666666665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481.31333333333333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60.164166666666667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72.196999999999989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36.098499999999994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24.065666666666665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14.439399999999999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4.813133333333333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192.52533333333332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885.61653333333345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391.76666666666665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885.61653333333345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1924.3832000000002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13.6335864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1.090686912</v>
      </c>
      <c r="D89" s="187"/>
      <c r="E89" s="187"/>
    </row>
    <row r="90" spans="1:5" ht="16.5" thickBot="1">
      <c r="A90" s="130" t="s">
        <v>190</v>
      </c>
      <c r="B90" s="137" t="s">
        <v>269</v>
      </c>
      <c r="C90" s="132">
        <f>4.35%*C39</f>
        <v>87.643799999999999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76.420154080000003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14.30508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6.1136123264000002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199.2069197184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28.554891826056963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6.2075851795776007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0.82767802394368017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6.2075851795776007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2.3174984670423044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44.115238676198153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44.115238676198153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44.115238676198153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'!H78</f>
        <v>301.39405754542719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Equipamentos!I31</f>
        <v>17.398589116914184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341.92681332900804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135.73296515170819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316.42521279383385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5447.8274216411037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35.410878240667174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163.4348226492331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272.39137108205517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923.39524991749749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2014.8000000000002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1924.3832000000002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199.2069197184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44.115238676198153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341.92681332900804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4524.4321717236062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923.39524991749749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5447.8274216411037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0" t="s">
        <v>458</v>
      </c>
      <c r="D171" s="119"/>
      <c r="E171" s="119"/>
    </row>
    <row r="173" spans="1:5">
      <c r="A173" s="112"/>
      <c r="B173" s="112"/>
      <c r="C173" s="113"/>
    </row>
    <row r="174" spans="1:5" ht="15.75">
      <c r="A174" s="151"/>
      <c r="B174" s="151"/>
      <c r="C174" s="152"/>
      <c r="D174" s="152"/>
      <c r="E174" s="119"/>
    </row>
    <row r="175" spans="1:5" ht="15.75">
      <c r="A175" s="119"/>
      <c r="B175" s="119"/>
      <c r="C175" s="152"/>
      <c r="D175" s="152"/>
      <c r="E175" s="119"/>
    </row>
    <row r="176" spans="1:5" ht="15.75">
      <c r="A176" s="153"/>
      <c r="B176" s="151"/>
      <c r="C176" s="152"/>
      <c r="D176" s="152"/>
      <c r="E176" s="119"/>
    </row>
    <row r="177" spans="1:5" ht="15.75">
      <c r="A177" s="136"/>
      <c r="B177" s="136"/>
      <c r="C177" s="136"/>
      <c r="D177" s="152"/>
      <c r="E177" s="119"/>
    </row>
    <row r="178" spans="1:5" ht="15.75">
      <c r="A178" s="119"/>
      <c r="B178" s="119"/>
      <c r="C178" s="119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147"/>
  <sheetViews>
    <sheetView topLeftCell="A121" zoomScaleNormal="100" workbookViewId="0">
      <selection activeCell="J135" sqref="J13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16.4257812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5.85546875" style="2" customWidth="1"/>
    <col min="25" max="25" width="13.7109375" style="2" customWidth="1"/>
    <col min="26" max="27" width="9.140625" style="2"/>
    <col min="28" max="28" width="10.42578125" style="2" customWidth="1"/>
    <col min="29" max="16384" width="9.140625" style="2"/>
  </cols>
  <sheetData>
    <row r="1" spans="2:21" ht="25.5" customHeight="1">
      <c r="J1" s="228"/>
      <c r="K1" s="228"/>
      <c r="L1" s="228"/>
      <c r="M1" s="228"/>
      <c r="N1" s="228"/>
    </row>
    <row r="2" spans="2:21">
      <c r="C2" s="221" t="s">
        <v>36</v>
      </c>
      <c r="D2" s="222"/>
      <c r="E2" s="222"/>
      <c r="F2" s="223"/>
      <c r="I2" s="89"/>
      <c r="J2" s="227" t="s">
        <v>150</v>
      </c>
      <c r="K2" s="227"/>
      <c r="L2" s="227"/>
      <c r="M2" s="227"/>
      <c r="N2" s="227"/>
      <c r="O2" s="88"/>
      <c r="R2" s="221" t="s">
        <v>56</v>
      </c>
      <c r="S2" s="222"/>
      <c r="T2" s="222"/>
      <c r="U2" s="223"/>
    </row>
    <row r="3" spans="2:21">
      <c r="C3" s="224"/>
      <c r="D3" s="225"/>
      <c r="E3" s="225"/>
      <c r="F3" s="226"/>
      <c r="I3" s="88"/>
      <c r="J3" s="227"/>
      <c r="K3" s="227"/>
      <c r="L3" s="227"/>
      <c r="M3" s="227"/>
      <c r="N3" s="227"/>
      <c r="O3" s="88"/>
      <c r="R3" s="224"/>
      <c r="S3" s="225"/>
      <c r="T3" s="225"/>
      <c r="U3" s="226"/>
    </row>
    <row r="4" spans="2:21" ht="18" customHeight="1">
      <c r="C4" s="220" t="s">
        <v>63</v>
      </c>
      <c r="D4" s="220"/>
      <c r="E4" s="220"/>
      <c r="F4" s="220"/>
      <c r="J4" s="220" t="s">
        <v>173</v>
      </c>
      <c r="K4" s="220"/>
      <c r="L4" s="220"/>
      <c r="M4" s="220"/>
      <c r="N4" s="220"/>
      <c r="R4" s="220" t="s">
        <v>55</v>
      </c>
      <c r="S4" s="220"/>
      <c r="T4" s="220"/>
      <c r="U4" s="220"/>
    </row>
    <row r="5" spans="2:21" ht="18" customHeight="1">
      <c r="C5" s="35" t="s">
        <v>4</v>
      </c>
      <c r="D5" s="193" t="s">
        <v>5</v>
      </c>
      <c r="E5" s="194"/>
      <c r="F5" s="195"/>
      <c r="J5" s="198" t="s">
        <v>4</v>
      </c>
      <c r="K5" s="198"/>
      <c r="L5" s="193" t="s">
        <v>42</v>
      </c>
      <c r="M5" s="194"/>
      <c r="N5" s="195"/>
      <c r="R5" s="35" t="s">
        <v>4</v>
      </c>
      <c r="S5" s="193" t="s">
        <v>5</v>
      </c>
      <c r="T5" s="194"/>
      <c r="U5" s="195"/>
    </row>
    <row r="6" spans="2:21" ht="47.25">
      <c r="B6" s="2">
        <v>1</v>
      </c>
      <c r="C6" s="6" t="s">
        <v>0</v>
      </c>
      <c r="D6" s="38" t="s">
        <v>58</v>
      </c>
      <c r="E6" s="6" t="s">
        <v>1</v>
      </c>
      <c r="F6" s="6" t="s">
        <v>59</v>
      </c>
      <c r="J6" s="6" t="s">
        <v>81</v>
      </c>
      <c r="K6" s="6" t="s">
        <v>0</v>
      </c>
      <c r="L6" s="38" t="s">
        <v>58</v>
      </c>
      <c r="M6" s="6" t="s">
        <v>1</v>
      </c>
      <c r="N6" s="6" t="s">
        <v>59</v>
      </c>
      <c r="R6" s="6" t="s">
        <v>0</v>
      </c>
      <c r="S6" s="38" t="s">
        <v>58</v>
      </c>
      <c r="T6" s="6" t="s">
        <v>1</v>
      </c>
      <c r="U6" s="6" t="s">
        <v>59</v>
      </c>
    </row>
    <row r="7" spans="2:21" ht="18" customHeight="1">
      <c r="C7" s="7" t="s">
        <v>6</v>
      </c>
      <c r="D7" s="3" t="s">
        <v>30</v>
      </c>
      <c r="E7" s="5">
        <v>3189.8</v>
      </c>
      <c r="F7" s="1">
        <f>1/(30*600)*E7</f>
        <v>0.17721111111111112</v>
      </c>
      <c r="J7" s="188" t="s">
        <v>82</v>
      </c>
      <c r="K7" s="7" t="s">
        <v>6</v>
      </c>
      <c r="L7" s="3" t="s">
        <v>130</v>
      </c>
      <c r="M7" s="1">
        <f>'Encarregado '!C169</f>
        <v>5493.1992562333526</v>
      </c>
      <c r="N7" s="1">
        <f>1/(30*800)*M7</f>
        <v>0.22888330234305634</v>
      </c>
      <c r="R7" s="7" t="s">
        <v>6</v>
      </c>
      <c r="S7" s="3" t="s">
        <v>30</v>
      </c>
      <c r="T7" s="8">
        <v>3123.76</v>
      </c>
      <c r="U7" s="9">
        <f>1/(30*600)*T7</f>
        <v>0.17354222222222224</v>
      </c>
    </row>
    <row r="8" spans="2:21" ht="18" customHeight="1">
      <c r="C8" s="10" t="s">
        <v>2</v>
      </c>
      <c r="D8" s="4" t="s">
        <v>7</v>
      </c>
      <c r="E8" s="2">
        <v>2588.58</v>
      </c>
      <c r="F8" s="1">
        <f>(1/600)*E8</f>
        <v>4.3143000000000002</v>
      </c>
      <c r="J8" s="189"/>
      <c r="K8" s="7" t="s">
        <v>180</v>
      </c>
      <c r="L8" s="42" t="s">
        <v>18</v>
      </c>
      <c r="M8" s="19">
        <f>'Aux Limpeza 800m'!C169</f>
        <v>4262.4154281856408</v>
      </c>
      <c r="N8" s="1">
        <f>(1/800)*M8</f>
        <v>5.3280192852320516</v>
      </c>
      <c r="R8" s="10" t="s">
        <v>2</v>
      </c>
      <c r="S8" s="4" t="s">
        <v>7</v>
      </c>
      <c r="T8" s="2">
        <v>2712.22</v>
      </c>
      <c r="U8" s="9">
        <f>(1/600)*T8</f>
        <v>4.5203666666666669</v>
      </c>
    </row>
    <row r="9" spans="2:21" ht="18" customHeight="1">
      <c r="C9" s="193" t="s">
        <v>37</v>
      </c>
      <c r="D9" s="194"/>
      <c r="E9" s="195"/>
      <c r="F9" s="26">
        <f>SUM(F7:F8)</f>
        <v>4.4915111111111115</v>
      </c>
      <c r="G9" s="12"/>
      <c r="H9" s="12"/>
      <c r="I9" s="12"/>
      <c r="J9" s="198" t="s">
        <v>37</v>
      </c>
      <c r="K9" s="198"/>
      <c r="L9" s="198"/>
      <c r="M9" s="198"/>
      <c r="N9" s="26">
        <f>SUM(N7:N8)</f>
        <v>5.5569025875751077</v>
      </c>
      <c r="O9" s="12"/>
      <c r="P9" s="12"/>
      <c r="R9" s="193" t="s">
        <v>37</v>
      </c>
      <c r="S9" s="194"/>
      <c r="T9" s="195"/>
      <c r="U9" s="11">
        <f>SUM(U7:U8)</f>
        <v>4.6939088888888891</v>
      </c>
    </row>
    <row r="10" spans="2:21" ht="18" customHeight="1">
      <c r="C10" s="27"/>
      <c r="D10" s="27"/>
      <c r="E10" s="27"/>
      <c r="F10" s="41"/>
      <c r="G10" s="12"/>
      <c r="H10" s="12"/>
      <c r="I10" s="12"/>
      <c r="O10" s="12"/>
      <c r="P10" s="12"/>
      <c r="R10" s="27"/>
      <c r="S10" s="27"/>
      <c r="T10" s="27"/>
      <c r="U10" s="28"/>
    </row>
    <row r="11" spans="2:21">
      <c r="C11" s="27"/>
      <c r="D11" s="27"/>
      <c r="E11" s="27"/>
      <c r="F11" s="41"/>
      <c r="G11" s="12"/>
      <c r="H11" s="12"/>
      <c r="J11" s="198" t="s">
        <v>4</v>
      </c>
      <c r="K11" s="198"/>
      <c r="L11" s="193" t="s">
        <v>80</v>
      </c>
      <c r="M11" s="194"/>
      <c r="N11" s="195"/>
      <c r="O11" s="12"/>
      <c r="P11" s="12"/>
      <c r="R11" s="27"/>
      <c r="S11" s="27"/>
      <c r="T11" s="27"/>
      <c r="U11" s="28"/>
    </row>
    <row r="12" spans="2:21" ht="28.9" customHeight="1">
      <c r="C12" s="27"/>
      <c r="D12" s="27"/>
      <c r="E12" s="27"/>
      <c r="F12" s="41"/>
      <c r="G12" s="12"/>
      <c r="H12" s="12"/>
      <c r="I12" s="12"/>
      <c r="J12" s="6" t="s">
        <v>81</v>
      </c>
      <c r="K12" s="6" t="s">
        <v>0</v>
      </c>
      <c r="L12" s="38" t="s">
        <v>58</v>
      </c>
      <c r="M12" s="6" t="s">
        <v>1</v>
      </c>
      <c r="N12" s="6" t="s">
        <v>59</v>
      </c>
      <c r="O12" s="12"/>
      <c r="P12" s="12"/>
      <c r="R12" s="27"/>
      <c r="S12" s="27"/>
      <c r="T12" s="27"/>
      <c r="U12" s="28"/>
    </row>
    <row r="13" spans="2:21" ht="18" customHeight="1">
      <c r="C13" s="27"/>
      <c r="D13" s="27"/>
      <c r="E13" s="27"/>
      <c r="F13" s="41"/>
      <c r="G13" s="12"/>
      <c r="H13" s="12"/>
      <c r="I13" s="12"/>
      <c r="J13" s="188" t="s">
        <v>82</v>
      </c>
      <c r="K13" s="7" t="s">
        <v>6</v>
      </c>
      <c r="L13" s="3" t="s">
        <v>130</v>
      </c>
      <c r="M13" s="1">
        <f>'Encarregado '!C$169</f>
        <v>5493.1992562333526</v>
      </c>
      <c r="N13" s="1">
        <f>1/(30*800)*M13</f>
        <v>0.22888330234305634</v>
      </c>
      <c r="O13" s="12"/>
      <c r="P13" s="34"/>
      <c r="R13" s="27"/>
      <c r="S13" s="27"/>
      <c r="T13" s="27"/>
      <c r="U13" s="28"/>
    </row>
    <row r="14" spans="2:21" ht="18" customHeight="1">
      <c r="C14" s="27"/>
      <c r="D14" s="27"/>
      <c r="E14" s="27"/>
      <c r="F14" s="41"/>
      <c r="G14" s="12"/>
      <c r="H14" s="12"/>
      <c r="I14" s="12"/>
      <c r="J14" s="189"/>
      <c r="K14" s="7" t="s">
        <v>180</v>
      </c>
      <c r="L14" s="4" t="s">
        <v>18</v>
      </c>
      <c r="M14" s="19">
        <f>'Aux Limpeza 800m'!C$169</f>
        <v>4262.4154281856408</v>
      </c>
      <c r="N14" s="1">
        <f>(1/800)*M14</f>
        <v>5.3280192852320516</v>
      </c>
      <c r="O14" s="12"/>
      <c r="P14" s="12"/>
      <c r="R14" s="27"/>
      <c r="S14" s="27"/>
      <c r="T14" s="27"/>
      <c r="U14" s="28"/>
    </row>
    <row r="15" spans="2:21" ht="18" customHeight="1">
      <c r="C15" s="27"/>
      <c r="D15" s="27"/>
      <c r="E15" s="27"/>
      <c r="F15" s="41"/>
      <c r="G15" s="12"/>
      <c r="H15" s="12"/>
      <c r="I15" s="12"/>
      <c r="J15" s="198" t="s">
        <v>37</v>
      </c>
      <c r="K15" s="198"/>
      <c r="L15" s="198"/>
      <c r="M15" s="198"/>
      <c r="N15" s="26">
        <f>SUM(N13:N14)</f>
        <v>5.5569025875751077</v>
      </c>
      <c r="O15" s="12"/>
      <c r="P15" s="12"/>
      <c r="R15" s="27"/>
      <c r="S15" s="27"/>
      <c r="T15" s="27"/>
      <c r="U15" s="28"/>
    </row>
    <row r="17" spans="2:21" ht="18" customHeight="1">
      <c r="C17" s="35" t="s">
        <v>4</v>
      </c>
      <c r="D17" s="193" t="s">
        <v>8</v>
      </c>
      <c r="E17" s="194"/>
      <c r="F17" s="195"/>
      <c r="J17" s="198" t="s">
        <v>4</v>
      </c>
      <c r="K17" s="198"/>
      <c r="L17" s="193" t="s">
        <v>8</v>
      </c>
      <c r="M17" s="194"/>
      <c r="N17" s="195"/>
      <c r="R17" s="35" t="s">
        <v>4</v>
      </c>
      <c r="S17" s="193" t="s">
        <v>8</v>
      </c>
      <c r="T17" s="194"/>
      <c r="U17" s="195"/>
    </row>
    <row r="18" spans="2:21" ht="47.25">
      <c r="B18" s="2">
        <v>2</v>
      </c>
      <c r="C18" s="6" t="s">
        <v>0</v>
      </c>
      <c r="D18" s="38" t="s">
        <v>58</v>
      </c>
      <c r="E18" s="6" t="s">
        <v>1</v>
      </c>
      <c r="F18" s="6" t="s">
        <v>59</v>
      </c>
      <c r="J18" s="6" t="s">
        <v>81</v>
      </c>
      <c r="K18" s="6" t="s">
        <v>0</v>
      </c>
      <c r="L18" s="38" t="s">
        <v>58</v>
      </c>
      <c r="M18" s="6" t="s">
        <v>1</v>
      </c>
      <c r="N18" s="6" t="s">
        <v>59</v>
      </c>
      <c r="R18" s="6" t="s">
        <v>0</v>
      </c>
      <c r="S18" s="38" t="s">
        <v>58</v>
      </c>
      <c r="T18" s="6" t="s">
        <v>1</v>
      </c>
      <c r="U18" s="6" t="s">
        <v>59</v>
      </c>
    </row>
    <row r="19" spans="2:21" ht="18" customHeight="1">
      <c r="C19" s="7" t="s">
        <v>6</v>
      </c>
      <c r="D19" s="3" t="s">
        <v>64</v>
      </c>
      <c r="E19" s="8">
        <f>E7</f>
        <v>3189.8</v>
      </c>
      <c r="F19" s="1">
        <f>1/(30*600)*E19</f>
        <v>0.17721111111111112</v>
      </c>
      <c r="J19" s="188" t="s">
        <v>95</v>
      </c>
      <c r="K19" s="7" t="s">
        <v>6</v>
      </c>
      <c r="L19" s="3" t="s">
        <v>131</v>
      </c>
      <c r="M19" s="1">
        <f>'Encarregado '!C$169</f>
        <v>5493.1992562333526</v>
      </c>
      <c r="N19" s="1">
        <f>1/(30*360)*M19</f>
        <v>0.50862956076234744</v>
      </c>
      <c r="R19" s="7" t="s">
        <v>6</v>
      </c>
      <c r="S19" s="3" t="s">
        <v>29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2</v>
      </c>
      <c r="D20" s="4" t="s">
        <v>7</v>
      </c>
      <c r="E20" s="2">
        <f>E8</f>
        <v>2588.58</v>
      </c>
      <c r="F20" s="1">
        <f>(1/600)*E20</f>
        <v>4.3143000000000002</v>
      </c>
      <c r="J20" s="189"/>
      <c r="K20" s="7" t="s">
        <v>180</v>
      </c>
      <c r="L20" s="4" t="s">
        <v>96</v>
      </c>
      <c r="M20" s="19">
        <f>'Aux Limpeza 800m'!C$169</f>
        <v>4262.4154281856408</v>
      </c>
      <c r="N20" s="1">
        <f>(1/360)*M20</f>
        <v>11.840042856071225</v>
      </c>
      <c r="R20" s="10" t="s">
        <v>2</v>
      </c>
      <c r="S20" s="4" t="s">
        <v>9</v>
      </c>
      <c r="T20" s="8">
        <f>T8</f>
        <v>2712.22</v>
      </c>
      <c r="U20" s="9">
        <f>(1/330)*T20</f>
        <v>8.2188484848484844</v>
      </c>
    </row>
    <row r="21" spans="2:21" ht="18" customHeight="1">
      <c r="C21" s="193" t="s">
        <v>37</v>
      </c>
      <c r="D21" s="194"/>
      <c r="E21" s="195"/>
      <c r="F21" s="26">
        <f>SUM(F19:F20)</f>
        <v>4.4915111111111115</v>
      </c>
      <c r="J21" s="198" t="s">
        <v>37</v>
      </c>
      <c r="K21" s="198"/>
      <c r="L21" s="198"/>
      <c r="M21" s="198"/>
      <c r="N21" s="26">
        <f>SUM(N19:N20)</f>
        <v>12.348672416833573</v>
      </c>
      <c r="R21" s="193" t="s">
        <v>37</v>
      </c>
      <c r="S21" s="194"/>
      <c r="T21" s="195"/>
      <c r="U21" s="11">
        <f>SUM(U19:U20)</f>
        <v>8.5343797979797973</v>
      </c>
    </row>
    <row r="22" spans="2:21" ht="18" customHeight="1">
      <c r="C22" s="27"/>
      <c r="D22" s="27"/>
      <c r="E22" s="27"/>
      <c r="F22" s="41"/>
      <c r="R22" s="27"/>
      <c r="S22" s="27"/>
      <c r="T22" s="27"/>
      <c r="U22" s="28"/>
    </row>
    <row r="23" spans="2:21" ht="18" customHeight="1">
      <c r="C23" s="27"/>
      <c r="D23" s="27"/>
      <c r="E23" s="27"/>
      <c r="F23" s="41"/>
      <c r="J23" s="198" t="s">
        <v>4</v>
      </c>
      <c r="K23" s="198"/>
      <c r="L23" s="193" t="s">
        <v>147</v>
      </c>
      <c r="M23" s="194"/>
      <c r="N23" s="195"/>
      <c r="R23" s="27"/>
      <c r="S23" s="27"/>
      <c r="T23" s="27"/>
      <c r="U23" s="28"/>
    </row>
    <row r="24" spans="2:21" ht="32.25">
      <c r="C24" s="27"/>
      <c r="D24" s="27"/>
      <c r="E24" s="27"/>
      <c r="F24" s="41"/>
      <c r="J24" s="6" t="s">
        <v>81</v>
      </c>
      <c r="K24" s="6" t="s">
        <v>0</v>
      </c>
      <c r="L24" s="38" t="s">
        <v>58</v>
      </c>
      <c r="M24" s="6" t="s">
        <v>1</v>
      </c>
      <c r="N24" s="6" t="s">
        <v>59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41"/>
      <c r="J25" s="188" t="s">
        <v>95</v>
      </c>
      <c r="K25" s="7" t="s">
        <v>6</v>
      </c>
      <c r="L25" s="3" t="s">
        <v>131</v>
      </c>
      <c r="M25" s="1">
        <f>'Encarregado '!C$169</f>
        <v>5493.1992562333526</v>
      </c>
      <c r="N25" s="1">
        <f>1/(30*360)*M25</f>
        <v>0.50862956076234744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41"/>
      <c r="J26" s="189"/>
      <c r="K26" s="7" t="s">
        <v>180</v>
      </c>
      <c r="L26" s="4" t="s">
        <v>96</v>
      </c>
      <c r="M26" s="19">
        <f>'Aux Limpeza Ins 20% 800m'!C169</f>
        <v>4855.1214249133727</v>
      </c>
      <c r="N26" s="1">
        <f>(1/360)*M26</f>
        <v>13.486448402537148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41"/>
      <c r="J27" s="198" t="s">
        <v>37</v>
      </c>
      <c r="K27" s="198"/>
      <c r="L27" s="198"/>
      <c r="M27" s="198"/>
      <c r="N27" s="26">
        <f>SUM(N25:N26)</f>
        <v>13.995077963299495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41"/>
      <c r="R28" s="27"/>
      <c r="S28" s="27"/>
      <c r="T28" s="27"/>
      <c r="U28" s="28"/>
    </row>
    <row r="29" spans="2:21" ht="18" customHeight="1">
      <c r="C29" s="27"/>
      <c r="D29" s="27"/>
      <c r="E29" s="27"/>
      <c r="F29" s="41"/>
      <c r="J29" s="198" t="s">
        <v>4</v>
      </c>
      <c r="K29" s="198"/>
      <c r="L29" s="193" t="s">
        <v>108</v>
      </c>
      <c r="M29" s="194"/>
      <c r="N29" s="195"/>
      <c r="R29" s="27"/>
      <c r="S29" s="27"/>
      <c r="T29" s="27"/>
      <c r="U29" s="28"/>
    </row>
    <row r="30" spans="2:21" ht="32.25">
      <c r="C30" s="27"/>
      <c r="D30" s="27"/>
      <c r="E30" s="27"/>
      <c r="F30" s="41"/>
      <c r="J30" s="6" t="s">
        <v>81</v>
      </c>
      <c r="K30" s="6" t="s">
        <v>0</v>
      </c>
      <c r="L30" s="38" t="s">
        <v>58</v>
      </c>
      <c r="M30" s="6" t="s">
        <v>1</v>
      </c>
      <c r="N30" s="6" t="s">
        <v>59</v>
      </c>
      <c r="R30" s="27"/>
      <c r="S30" s="27"/>
      <c r="T30" s="27"/>
      <c r="U30" s="28"/>
    </row>
    <row r="31" spans="2:21" ht="18" customHeight="1">
      <c r="C31" s="27"/>
      <c r="D31" s="27"/>
      <c r="E31" s="27"/>
      <c r="F31" s="41"/>
      <c r="J31" s="188" t="s">
        <v>95</v>
      </c>
      <c r="K31" s="7" t="s">
        <v>6</v>
      </c>
      <c r="L31" s="3" t="s">
        <v>131</v>
      </c>
      <c r="M31" s="1">
        <f>'Encarregado '!C$169</f>
        <v>5493.1992562333526</v>
      </c>
      <c r="N31" s="1">
        <f>1/(30*360)*M31</f>
        <v>0.50862956076234744</v>
      </c>
      <c r="R31" s="27"/>
      <c r="S31" s="27"/>
      <c r="T31" s="27"/>
      <c r="U31" s="28"/>
    </row>
    <row r="32" spans="2:21" ht="18" customHeight="1">
      <c r="C32" s="27"/>
      <c r="D32" s="27"/>
      <c r="E32" s="27"/>
      <c r="F32" s="41"/>
      <c r="J32" s="189"/>
      <c r="K32" s="7" t="s">
        <v>180</v>
      </c>
      <c r="L32" s="4" t="s">
        <v>96</v>
      </c>
      <c r="M32" s="19">
        <f>'Aux Limpeza Ins 40% 800m'!C169</f>
        <v>5447.8274216411037</v>
      </c>
      <c r="N32" s="1">
        <f>(1/360)*M32</f>
        <v>15.132853949003067</v>
      </c>
      <c r="R32" s="27"/>
      <c r="S32" s="27"/>
      <c r="T32" s="27"/>
      <c r="U32" s="28"/>
    </row>
    <row r="33" spans="2:21" ht="18" customHeight="1">
      <c r="C33" s="27"/>
      <c r="D33" s="27"/>
      <c r="E33" s="27"/>
      <c r="F33" s="41"/>
      <c r="J33" s="198" t="s">
        <v>37</v>
      </c>
      <c r="K33" s="198"/>
      <c r="L33" s="198"/>
      <c r="M33" s="198"/>
      <c r="N33" s="26">
        <f>SUM(N31:N32)</f>
        <v>15.641483509765415</v>
      </c>
      <c r="R33" s="27"/>
      <c r="S33" s="27"/>
      <c r="T33" s="27"/>
      <c r="U33" s="28"/>
    </row>
    <row r="34" spans="2:21" ht="18" customHeight="1">
      <c r="C34" s="27"/>
      <c r="D34" s="27"/>
      <c r="E34" s="27"/>
      <c r="F34" s="41"/>
      <c r="R34" s="27"/>
      <c r="S34" s="27"/>
      <c r="T34" s="27"/>
      <c r="U34" s="28"/>
    </row>
    <row r="36" spans="2:21" ht="18" customHeight="1">
      <c r="C36" s="35" t="s">
        <v>4</v>
      </c>
      <c r="D36" s="193" t="s">
        <v>11</v>
      </c>
      <c r="E36" s="194"/>
      <c r="F36" s="195"/>
      <c r="J36" s="198" t="s">
        <v>4</v>
      </c>
      <c r="K36" s="198"/>
      <c r="L36" s="193" t="s">
        <v>11</v>
      </c>
      <c r="M36" s="194"/>
      <c r="N36" s="195"/>
      <c r="R36" s="35" t="s">
        <v>4</v>
      </c>
      <c r="S36" s="193" t="s">
        <v>11</v>
      </c>
      <c r="T36" s="194"/>
      <c r="U36" s="195"/>
    </row>
    <row r="37" spans="2:21" ht="47.25">
      <c r="B37" s="2">
        <v>3</v>
      </c>
      <c r="C37" s="6" t="s">
        <v>0</v>
      </c>
      <c r="D37" s="38" t="s">
        <v>58</v>
      </c>
      <c r="E37" s="6" t="s">
        <v>1</v>
      </c>
      <c r="F37" s="6" t="s">
        <v>59</v>
      </c>
      <c r="J37" s="6" t="s">
        <v>81</v>
      </c>
      <c r="K37" s="6" t="s">
        <v>0</v>
      </c>
      <c r="L37" s="38" t="s">
        <v>58</v>
      </c>
      <c r="M37" s="6" t="s">
        <v>1</v>
      </c>
      <c r="N37" s="6" t="s">
        <v>59</v>
      </c>
      <c r="R37" s="6" t="s">
        <v>0</v>
      </c>
      <c r="S37" s="38" t="s">
        <v>58</v>
      </c>
      <c r="T37" s="6" t="s">
        <v>1</v>
      </c>
      <c r="U37" s="6" t="s">
        <v>59</v>
      </c>
    </row>
    <row r="38" spans="2:21" ht="18" customHeight="1">
      <c r="C38" s="7" t="s">
        <v>6</v>
      </c>
      <c r="D38" s="3" t="s">
        <v>30</v>
      </c>
      <c r="E38" s="8">
        <f>E19</f>
        <v>3189.8</v>
      </c>
      <c r="F38" s="1">
        <f>1/(30*600)*E38</f>
        <v>0.17721111111111112</v>
      </c>
      <c r="J38" s="188" t="s">
        <v>104</v>
      </c>
      <c r="K38" s="7" t="s">
        <v>6</v>
      </c>
      <c r="L38" s="3" t="s">
        <v>132</v>
      </c>
      <c r="M38" s="1">
        <f>'Encarregado '!C$169</f>
        <v>5493.1992562333526</v>
      </c>
      <c r="N38" s="1">
        <f>1/(30*1500)*M38</f>
        <v>0.12207109458296339</v>
      </c>
      <c r="R38" s="7" t="s">
        <v>6</v>
      </c>
      <c r="S38" s="3" t="s">
        <v>28</v>
      </c>
      <c r="T38" s="8">
        <f>T19</f>
        <v>3123.76</v>
      </c>
      <c r="U38" s="9">
        <f>1/(30*1350)*T38</f>
        <v>7.712987654320988E-2</v>
      </c>
    </row>
    <row r="39" spans="2:21" ht="18" customHeight="1">
      <c r="C39" s="10" t="s">
        <v>2</v>
      </c>
      <c r="D39" s="4" t="s">
        <v>7</v>
      </c>
      <c r="E39" s="2">
        <f>E20</f>
        <v>2588.58</v>
      </c>
      <c r="F39" s="1">
        <f>(1/600)*E39</f>
        <v>4.3143000000000002</v>
      </c>
      <c r="J39" s="189"/>
      <c r="K39" s="7" t="s">
        <v>180</v>
      </c>
      <c r="L39" s="4" t="s">
        <v>97</v>
      </c>
      <c r="M39" s="19">
        <f>'Aux Limpeza 800m'!C$169</f>
        <v>4262.4154281856408</v>
      </c>
      <c r="N39" s="1">
        <f>(1/1500)*M39</f>
        <v>2.8416102854570937</v>
      </c>
      <c r="R39" s="10" t="s">
        <v>2</v>
      </c>
      <c r="S39" s="4" t="s">
        <v>10</v>
      </c>
      <c r="T39" s="8">
        <f>T20</f>
        <v>2712.22</v>
      </c>
      <c r="U39" s="9">
        <f>(1/1350)*T39</f>
        <v>2.0090518518518516</v>
      </c>
    </row>
    <row r="40" spans="2:21" ht="18" customHeight="1">
      <c r="C40" s="193" t="s">
        <v>37</v>
      </c>
      <c r="D40" s="194"/>
      <c r="E40" s="195"/>
      <c r="F40" s="26">
        <f>SUM(F38:F39)</f>
        <v>4.4915111111111115</v>
      </c>
      <c r="J40" s="198" t="s">
        <v>37</v>
      </c>
      <c r="K40" s="198"/>
      <c r="L40" s="198"/>
      <c r="M40" s="198"/>
      <c r="N40" s="26">
        <f>SUM(N38:N39)</f>
        <v>2.963681380040057</v>
      </c>
      <c r="R40" s="193" t="s">
        <v>37</v>
      </c>
      <c r="S40" s="194"/>
      <c r="T40" s="195"/>
      <c r="U40" s="11">
        <f>SUM(U38:U39)</f>
        <v>2.0861817283950614</v>
      </c>
    </row>
    <row r="42" spans="2:21" ht="18" customHeight="1">
      <c r="C42" s="35" t="s">
        <v>4</v>
      </c>
      <c r="D42" s="193" t="s">
        <v>12</v>
      </c>
      <c r="E42" s="194"/>
      <c r="F42" s="195"/>
      <c r="J42" s="198" t="s">
        <v>4</v>
      </c>
      <c r="K42" s="198"/>
      <c r="L42" s="193" t="s">
        <v>12</v>
      </c>
      <c r="M42" s="194"/>
      <c r="N42" s="195"/>
      <c r="R42" s="35" t="s">
        <v>4</v>
      </c>
      <c r="S42" s="193" t="s">
        <v>12</v>
      </c>
      <c r="T42" s="194"/>
      <c r="U42" s="195"/>
    </row>
    <row r="43" spans="2:21" ht="47.25">
      <c r="B43" s="2">
        <v>4</v>
      </c>
      <c r="C43" s="6" t="s">
        <v>0</v>
      </c>
      <c r="D43" s="38" t="s">
        <v>58</v>
      </c>
      <c r="E43" s="6" t="s">
        <v>1</v>
      </c>
      <c r="F43" s="6" t="s">
        <v>59</v>
      </c>
      <c r="J43" s="6" t="s">
        <v>81</v>
      </c>
      <c r="K43" s="6" t="s">
        <v>0</v>
      </c>
      <c r="L43" s="38" t="s">
        <v>58</v>
      </c>
      <c r="M43" s="6" t="s">
        <v>1</v>
      </c>
      <c r="N43" s="6" t="s">
        <v>59</v>
      </c>
      <c r="R43" s="6" t="s">
        <v>0</v>
      </c>
      <c r="S43" s="38" t="s">
        <v>58</v>
      </c>
      <c r="T43" s="6" t="s">
        <v>1</v>
      </c>
      <c r="U43" s="6" t="s">
        <v>59</v>
      </c>
    </row>
    <row r="44" spans="2:21" ht="18" customHeight="1">
      <c r="C44" s="7" t="s">
        <v>6</v>
      </c>
      <c r="D44" s="3" t="s">
        <v>30</v>
      </c>
      <c r="E44" s="8">
        <f>E38</f>
        <v>3189.8</v>
      </c>
      <c r="F44" s="1">
        <f>1/(30*600)*E44</f>
        <v>0.17721111111111112</v>
      </c>
      <c r="G44" s="25"/>
      <c r="J44" s="188" t="s">
        <v>103</v>
      </c>
      <c r="K44" s="7" t="s">
        <v>6</v>
      </c>
      <c r="L44" s="3" t="s">
        <v>133</v>
      </c>
      <c r="M44" s="1">
        <f>'Encarregado '!C$169</f>
        <v>5493.1992562333526</v>
      </c>
      <c r="N44" s="1">
        <f>1/(30*1200)*M44</f>
        <v>0.15258886822870424</v>
      </c>
      <c r="O44" s="25"/>
      <c r="R44" s="7" t="s">
        <v>6</v>
      </c>
      <c r="S44" s="3" t="s">
        <v>27</v>
      </c>
      <c r="T44" s="8">
        <f>T38</f>
        <v>3123.76</v>
      </c>
      <c r="U44" s="9">
        <f>1/(30*800)*T44</f>
        <v>0.13015666666666667</v>
      </c>
    </row>
    <row r="45" spans="2:21" ht="18" customHeight="1">
      <c r="C45" s="10" t="s">
        <v>2</v>
      </c>
      <c r="D45" s="4" t="s">
        <v>7</v>
      </c>
      <c r="E45" s="2">
        <f>E39</f>
        <v>2588.58</v>
      </c>
      <c r="F45" s="1">
        <f>(1/600)*E45</f>
        <v>4.3143000000000002</v>
      </c>
      <c r="J45" s="189"/>
      <c r="K45" s="7" t="s">
        <v>180</v>
      </c>
      <c r="L45" s="4" t="s">
        <v>19</v>
      </c>
      <c r="M45" s="19">
        <f>'Aux Limpeza 800m'!C$169</f>
        <v>4262.4154281856408</v>
      </c>
      <c r="N45" s="1">
        <f>(1/1200)*M45</f>
        <v>3.5520128568213676</v>
      </c>
      <c r="R45" s="10" t="s">
        <v>2</v>
      </c>
      <c r="S45" s="4" t="s">
        <v>18</v>
      </c>
      <c r="T45" s="8">
        <f>T39</f>
        <v>2712.22</v>
      </c>
      <c r="U45" s="9">
        <f>(1/800)*T45</f>
        <v>3.3902749999999999</v>
      </c>
    </row>
    <row r="46" spans="2:21" ht="18" customHeight="1">
      <c r="C46" s="193" t="s">
        <v>37</v>
      </c>
      <c r="D46" s="194"/>
      <c r="E46" s="195"/>
      <c r="F46" s="26">
        <f>SUM(F44:F45)</f>
        <v>4.4915111111111115</v>
      </c>
      <c r="J46" s="198" t="s">
        <v>37</v>
      </c>
      <c r="K46" s="198"/>
      <c r="L46" s="198"/>
      <c r="M46" s="198"/>
      <c r="N46" s="26">
        <f>SUM(N44:N45)</f>
        <v>3.7046017250500718</v>
      </c>
      <c r="R46" s="193" t="s">
        <v>37</v>
      </c>
      <c r="S46" s="194"/>
      <c r="T46" s="195"/>
      <c r="U46" s="11">
        <f>SUM(U44:U45)</f>
        <v>3.5204316666666666</v>
      </c>
    </row>
    <row r="48" spans="2:21" ht="18" customHeight="1">
      <c r="C48" s="35" t="s">
        <v>4</v>
      </c>
      <c r="D48" s="193" t="s">
        <v>13</v>
      </c>
      <c r="E48" s="194"/>
      <c r="F48" s="195"/>
      <c r="J48" s="198" t="s">
        <v>4</v>
      </c>
      <c r="K48" s="198"/>
      <c r="L48" s="193" t="s">
        <v>13</v>
      </c>
      <c r="M48" s="194"/>
      <c r="N48" s="195"/>
      <c r="R48" s="35" t="s">
        <v>4</v>
      </c>
      <c r="S48" s="193" t="s">
        <v>13</v>
      </c>
      <c r="T48" s="194"/>
      <c r="U48" s="195"/>
    </row>
    <row r="49" spans="2:21" ht="47.25">
      <c r="B49" s="2">
        <v>5</v>
      </c>
      <c r="C49" s="6" t="s">
        <v>0</v>
      </c>
      <c r="D49" s="38" t="s">
        <v>58</v>
      </c>
      <c r="E49" s="6" t="s">
        <v>1</v>
      </c>
      <c r="F49" s="6" t="s">
        <v>59</v>
      </c>
      <c r="J49" s="6" t="s">
        <v>81</v>
      </c>
      <c r="K49" s="6" t="s">
        <v>0</v>
      </c>
      <c r="L49" s="38" t="s">
        <v>58</v>
      </c>
      <c r="M49" s="6" t="s">
        <v>1</v>
      </c>
      <c r="N49" s="6" t="s">
        <v>59</v>
      </c>
      <c r="R49" s="6" t="s">
        <v>0</v>
      </c>
      <c r="S49" s="38" t="s">
        <v>58</v>
      </c>
      <c r="T49" s="6" t="s">
        <v>1</v>
      </c>
      <c r="U49" s="6" t="s">
        <v>59</v>
      </c>
    </row>
    <row r="50" spans="2:21" ht="18" customHeight="1">
      <c r="C50" s="13" t="s">
        <v>6</v>
      </c>
      <c r="D50" s="3" t="s">
        <v>30</v>
      </c>
      <c r="E50" s="8">
        <f>E38</f>
        <v>3189.8</v>
      </c>
      <c r="F50" s="1">
        <f>1/(30*600)*E50</f>
        <v>0.17721111111111112</v>
      </c>
      <c r="J50" s="188" t="s">
        <v>102</v>
      </c>
      <c r="K50" s="7" t="s">
        <v>6</v>
      </c>
      <c r="L50" s="3" t="s">
        <v>134</v>
      </c>
      <c r="M50" s="1">
        <f>'Encarregado '!C$169</f>
        <v>5493.1992562333526</v>
      </c>
      <c r="N50" s="1">
        <f>1/(30*1000)*M50</f>
        <v>0.18310664187444509</v>
      </c>
      <c r="R50" s="13" t="s">
        <v>6</v>
      </c>
      <c r="S50" s="3" t="s">
        <v>26</v>
      </c>
      <c r="T50" s="8">
        <f>T44</f>
        <v>3123.76</v>
      </c>
      <c r="U50" s="9">
        <f>1/(30*400)*T50</f>
        <v>0.26031333333333334</v>
      </c>
    </row>
    <row r="51" spans="2:21" ht="18" customHeight="1">
      <c r="C51" s="10" t="s">
        <v>2</v>
      </c>
      <c r="D51" s="4" t="s">
        <v>7</v>
      </c>
      <c r="E51" s="2">
        <f>E45</f>
        <v>2588.58</v>
      </c>
      <c r="F51" s="1">
        <f>(1/600)*E51</f>
        <v>4.3143000000000002</v>
      </c>
      <c r="J51" s="189"/>
      <c r="K51" s="7" t="s">
        <v>180</v>
      </c>
      <c r="L51" s="4" t="s">
        <v>98</v>
      </c>
      <c r="M51" s="19">
        <f>'Aux Limpeza 800m'!C$169</f>
        <v>4262.4154281856408</v>
      </c>
      <c r="N51" s="1">
        <f>(1/1000)*M51</f>
        <v>4.2624154281856406</v>
      </c>
      <c r="R51" s="10" t="s">
        <v>2</v>
      </c>
      <c r="S51" s="4" t="s">
        <v>14</v>
      </c>
      <c r="T51" s="8">
        <f>T45</f>
        <v>2712.22</v>
      </c>
      <c r="U51" s="9">
        <f>(1/400)*T51</f>
        <v>6.7805499999999999</v>
      </c>
    </row>
    <row r="52" spans="2:21" ht="18" customHeight="1">
      <c r="C52" s="193" t="s">
        <v>37</v>
      </c>
      <c r="D52" s="194"/>
      <c r="E52" s="195"/>
      <c r="F52" s="26">
        <f>SUM(F50:F51)</f>
        <v>4.4915111111111115</v>
      </c>
      <c r="J52" s="198" t="s">
        <v>37</v>
      </c>
      <c r="K52" s="198"/>
      <c r="L52" s="198"/>
      <c r="M52" s="198"/>
      <c r="N52" s="26">
        <f>SUM(N50:N51)</f>
        <v>4.4455220700600853</v>
      </c>
      <c r="R52" s="193" t="s">
        <v>37</v>
      </c>
      <c r="S52" s="194"/>
      <c r="T52" s="195"/>
      <c r="U52" s="11">
        <f>SUM(U50:U51)</f>
        <v>7.0408633333333333</v>
      </c>
    </row>
    <row r="53" spans="2:21" ht="18" customHeight="1">
      <c r="C53" s="27"/>
      <c r="D53" s="27"/>
      <c r="E53" s="27"/>
      <c r="F53" s="41"/>
      <c r="R53" s="27"/>
      <c r="S53" s="27"/>
      <c r="T53" s="27"/>
      <c r="U53" s="28"/>
    </row>
    <row r="54" spans="2:21" ht="18" customHeight="1">
      <c r="C54" s="27"/>
      <c r="D54" s="27"/>
      <c r="E54" s="27"/>
      <c r="F54" s="41"/>
      <c r="J54" s="198" t="s">
        <v>4</v>
      </c>
      <c r="K54" s="198"/>
      <c r="L54" s="193" t="s">
        <v>70</v>
      </c>
      <c r="M54" s="194"/>
      <c r="N54" s="195"/>
      <c r="R54" s="27"/>
      <c r="S54" s="27"/>
      <c r="T54" s="27"/>
      <c r="U54" s="28"/>
    </row>
    <row r="55" spans="2:21" ht="34.5" customHeight="1">
      <c r="C55" s="27"/>
      <c r="D55" s="27"/>
      <c r="E55" s="27"/>
      <c r="F55" s="41"/>
      <c r="J55" s="6" t="s">
        <v>81</v>
      </c>
      <c r="K55" s="6" t="s">
        <v>0</v>
      </c>
      <c r="L55" s="38" t="s">
        <v>58</v>
      </c>
      <c r="M55" s="6" t="s">
        <v>1</v>
      </c>
      <c r="N55" s="6" t="s">
        <v>59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41"/>
      <c r="J56" s="188" t="s">
        <v>99</v>
      </c>
      <c r="K56" s="7" t="s">
        <v>6</v>
      </c>
      <c r="L56" s="3" t="s">
        <v>135</v>
      </c>
      <c r="M56" s="1">
        <f>'Encarregado '!C$169</f>
        <v>5493.1992562333526</v>
      </c>
      <c r="N56" s="1">
        <f>1/(30*200)*M56</f>
        <v>0.91553320937222538</v>
      </c>
      <c r="O56" s="156" t="s">
        <v>456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41"/>
      <c r="J57" s="189"/>
      <c r="K57" s="7" t="s">
        <v>180</v>
      </c>
      <c r="L57" s="4" t="s">
        <v>100</v>
      </c>
      <c r="M57" s="19">
        <f>'Aux Limpeza 800m'!C$169</f>
        <v>4262.4154281856408</v>
      </c>
      <c r="N57" s="1">
        <f>(1/200)*M57</f>
        <v>21.312077140928206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41"/>
      <c r="J58" s="198" t="s">
        <v>37</v>
      </c>
      <c r="K58" s="198"/>
      <c r="L58" s="198"/>
      <c r="M58" s="198"/>
      <c r="N58" s="26">
        <f>SUM(N56:N57)</f>
        <v>22.227610350300431</v>
      </c>
      <c r="R58" s="27"/>
      <c r="S58" s="27"/>
      <c r="T58" s="27"/>
      <c r="U58" s="28"/>
    </row>
    <row r="59" spans="2:21" ht="18" customHeight="1">
      <c r="C59" s="27"/>
      <c r="D59" s="27"/>
      <c r="E59" s="27"/>
      <c r="F59" s="41"/>
      <c r="R59" s="27"/>
      <c r="S59" s="27"/>
      <c r="T59" s="27"/>
      <c r="U59" s="28"/>
    </row>
    <row r="60" spans="2:21" ht="18" customHeight="1">
      <c r="C60" s="27"/>
      <c r="D60" s="27"/>
      <c r="E60" s="27"/>
      <c r="F60" s="41"/>
      <c r="J60" s="198" t="s">
        <v>4</v>
      </c>
      <c r="K60" s="198"/>
      <c r="L60" s="193" t="s">
        <v>109</v>
      </c>
      <c r="M60" s="194"/>
      <c r="N60" s="195"/>
      <c r="R60" s="27"/>
      <c r="S60" s="27"/>
      <c r="T60" s="27"/>
      <c r="U60" s="28"/>
    </row>
    <row r="61" spans="2:21" ht="45" customHeight="1">
      <c r="C61" s="27"/>
      <c r="D61" s="27"/>
      <c r="E61" s="27"/>
      <c r="F61" s="41"/>
      <c r="J61" s="6" t="s">
        <v>81</v>
      </c>
      <c r="K61" s="6" t="s">
        <v>0</v>
      </c>
      <c r="L61" s="38" t="s">
        <v>58</v>
      </c>
      <c r="M61" s="6" t="s">
        <v>1</v>
      </c>
      <c r="N61" s="6" t="s">
        <v>59</v>
      </c>
      <c r="R61" s="27"/>
      <c r="S61" s="27"/>
      <c r="T61" s="27"/>
      <c r="U61" s="28"/>
    </row>
    <row r="62" spans="2:21" ht="18" customHeight="1">
      <c r="C62" s="27"/>
      <c r="D62" s="27"/>
      <c r="E62" s="27"/>
      <c r="F62" s="41"/>
      <c r="J62" s="188" t="s">
        <v>99</v>
      </c>
      <c r="K62" s="7" t="s">
        <v>6</v>
      </c>
      <c r="L62" s="3" t="s">
        <v>135</v>
      </c>
      <c r="M62" s="1">
        <f>'Encarregado '!C$169</f>
        <v>5493.1992562333526</v>
      </c>
      <c r="N62" s="1">
        <f>1/(30*200)*M62</f>
        <v>0.91553320937222538</v>
      </c>
      <c r="O62" s="156" t="s">
        <v>456</v>
      </c>
      <c r="R62" s="27"/>
      <c r="S62" s="27"/>
      <c r="T62" s="27"/>
      <c r="U62" s="28"/>
    </row>
    <row r="63" spans="2:21" ht="18" customHeight="1">
      <c r="C63" s="27"/>
      <c r="D63" s="27"/>
      <c r="E63" s="27"/>
      <c r="F63" s="41"/>
      <c r="J63" s="189"/>
      <c r="K63" s="7" t="s">
        <v>180</v>
      </c>
      <c r="L63" s="4" t="s">
        <v>100</v>
      </c>
      <c r="M63" s="19">
        <f>'Aux Limpeza Ins 40% 800m'!C169</f>
        <v>5447.8274216411037</v>
      </c>
      <c r="N63" s="1">
        <f>(1/200)*M63</f>
        <v>27.239137108205519</v>
      </c>
      <c r="R63" s="27"/>
      <c r="S63" s="27"/>
      <c r="T63" s="27"/>
      <c r="U63" s="28"/>
    </row>
    <row r="64" spans="2:21" ht="18" customHeight="1">
      <c r="C64" s="27"/>
      <c r="D64" s="27"/>
      <c r="E64" s="27"/>
      <c r="F64" s="41"/>
      <c r="J64" s="198" t="s">
        <v>37</v>
      </c>
      <c r="K64" s="198"/>
      <c r="L64" s="198"/>
      <c r="M64" s="198"/>
      <c r="N64" s="26">
        <f>SUM(N62:N63)</f>
        <v>28.154670317577743</v>
      </c>
      <c r="R64" s="27"/>
      <c r="S64" s="27"/>
      <c r="T64" s="27"/>
      <c r="U64" s="28"/>
    </row>
    <row r="66" spans="2:21" ht="18" customHeight="1">
      <c r="C66" s="35" t="s">
        <v>17</v>
      </c>
      <c r="D66" s="193" t="s">
        <v>15</v>
      </c>
      <c r="E66" s="194"/>
      <c r="F66" s="195"/>
      <c r="J66" s="198" t="s">
        <v>17</v>
      </c>
      <c r="K66" s="198"/>
      <c r="L66" s="193" t="s">
        <v>15</v>
      </c>
      <c r="M66" s="194"/>
      <c r="N66" s="195"/>
      <c r="R66" s="35" t="s">
        <v>17</v>
      </c>
      <c r="S66" s="193" t="s">
        <v>15</v>
      </c>
      <c r="T66" s="194"/>
      <c r="U66" s="195"/>
    </row>
    <row r="67" spans="2:21" ht="47.25">
      <c r="B67" s="2">
        <v>6</v>
      </c>
      <c r="C67" s="6" t="s">
        <v>0</v>
      </c>
      <c r="D67" s="38" t="s">
        <v>58</v>
      </c>
      <c r="E67" s="6" t="s">
        <v>1</v>
      </c>
      <c r="F67" s="6" t="s">
        <v>59</v>
      </c>
      <c r="J67" s="6" t="s">
        <v>81</v>
      </c>
      <c r="K67" s="6" t="s">
        <v>0</v>
      </c>
      <c r="L67" s="38" t="s">
        <v>58</v>
      </c>
      <c r="M67" s="6" t="s">
        <v>1</v>
      </c>
      <c r="N67" s="6" t="s">
        <v>59</v>
      </c>
      <c r="R67" s="6" t="s">
        <v>0</v>
      </c>
      <c r="S67" s="38" t="s">
        <v>58</v>
      </c>
      <c r="T67" s="6" t="s">
        <v>1</v>
      </c>
      <c r="U67" s="6" t="s">
        <v>59</v>
      </c>
    </row>
    <row r="68" spans="2:21" ht="18" customHeight="1">
      <c r="C68" s="7" t="s">
        <v>6</v>
      </c>
      <c r="D68" s="3" t="s">
        <v>24</v>
      </c>
      <c r="E68" s="8">
        <f>E50</f>
        <v>3189.8</v>
      </c>
      <c r="F68" s="9">
        <f>1/(30*1200)*E68</f>
        <v>8.8605555555555562E-2</v>
      </c>
      <c r="J68" s="188" t="s">
        <v>83</v>
      </c>
      <c r="K68" s="7" t="s">
        <v>6</v>
      </c>
      <c r="L68" s="3" t="s">
        <v>84</v>
      </c>
      <c r="M68" s="1">
        <f>'Encarregado '!C$169</f>
        <v>5493.1992562333526</v>
      </c>
      <c r="N68" s="9">
        <f>1/(30*1800)*M68</f>
        <v>0.1017259121524695</v>
      </c>
      <c r="R68" s="7" t="s">
        <v>6</v>
      </c>
      <c r="S68" s="3" t="s">
        <v>24</v>
      </c>
      <c r="T68" s="8">
        <f>T50</f>
        <v>3123.76</v>
      </c>
      <c r="U68" s="9">
        <f>1/(30*1200)*T68</f>
        <v>8.6771111111111118E-2</v>
      </c>
    </row>
    <row r="69" spans="2:21" ht="18" customHeight="1">
      <c r="C69" s="10" t="s">
        <v>2</v>
      </c>
      <c r="D69" s="4" t="s">
        <v>19</v>
      </c>
      <c r="E69" s="2">
        <f>E51</f>
        <v>2588.58</v>
      </c>
      <c r="F69" s="9">
        <f>(1/1200)*E69</f>
        <v>2.1571500000000001</v>
      </c>
      <c r="J69" s="189"/>
      <c r="K69" s="7" t="s">
        <v>180</v>
      </c>
      <c r="L69" s="4" t="s">
        <v>85</v>
      </c>
      <c r="M69" s="19">
        <f>'Aux Limpeza 800m'!C$169</f>
        <v>4262.4154281856408</v>
      </c>
      <c r="N69" s="9">
        <f>(1/1800)*M69</f>
        <v>2.3680085712142449</v>
      </c>
      <c r="R69" s="10" t="s">
        <v>2</v>
      </c>
      <c r="S69" s="4" t="s">
        <v>19</v>
      </c>
      <c r="T69" s="8">
        <f>T51</f>
        <v>2712.22</v>
      </c>
      <c r="U69" s="9">
        <f>(1/1200)*T69</f>
        <v>2.2601833333333334</v>
      </c>
    </row>
    <row r="70" spans="2:21" ht="18" customHeight="1">
      <c r="C70" s="35" t="s">
        <v>37</v>
      </c>
      <c r="D70" s="36"/>
      <c r="E70" s="37"/>
      <c r="F70" s="26">
        <f>SUM(F68:F69)</f>
        <v>2.2457555555555557</v>
      </c>
      <c r="J70" s="198" t="s">
        <v>37</v>
      </c>
      <c r="K70" s="198"/>
      <c r="L70" s="198"/>
      <c r="M70" s="198"/>
      <c r="N70" s="26">
        <f>SUM(N68:N69)</f>
        <v>2.4697344833667145</v>
      </c>
      <c r="R70" s="193" t="s">
        <v>37</v>
      </c>
      <c r="S70" s="194"/>
      <c r="T70" s="195"/>
      <c r="U70" s="11">
        <f>SUM(U68:U69)</f>
        <v>2.3469544444444446</v>
      </c>
    </row>
    <row r="72" spans="2:21" ht="18" customHeight="1">
      <c r="C72" s="35" t="s">
        <v>17</v>
      </c>
      <c r="D72" s="193" t="s">
        <v>16</v>
      </c>
      <c r="E72" s="194"/>
      <c r="F72" s="195"/>
      <c r="J72" s="198" t="s">
        <v>17</v>
      </c>
      <c r="K72" s="198"/>
      <c r="L72" s="193" t="s">
        <v>16</v>
      </c>
      <c r="M72" s="194"/>
      <c r="N72" s="195"/>
      <c r="R72" s="35" t="s">
        <v>17</v>
      </c>
      <c r="S72" s="193" t="s">
        <v>16</v>
      </c>
      <c r="T72" s="194"/>
      <c r="U72" s="195"/>
    </row>
    <row r="73" spans="2:21" ht="47.25">
      <c r="B73" s="2">
        <v>7</v>
      </c>
      <c r="C73" s="6" t="s">
        <v>0</v>
      </c>
      <c r="D73" s="38" t="s">
        <v>58</v>
      </c>
      <c r="E73" s="6" t="s">
        <v>1</v>
      </c>
      <c r="F73" s="6" t="s">
        <v>59</v>
      </c>
      <c r="J73" s="6" t="s">
        <v>81</v>
      </c>
      <c r="K73" s="6" t="s">
        <v>0</v>
      </c>
      <c r="L73" s="38" t="s">
        <v>58</v>
      </c>
      <c r="M73" s="6" t="s">
        <v>1</v>
      </c>
      <c r="N73" s="6" t="s">
        <v>59</v>
      </c>
      <c r="R73" s="6" t="s">
        <v>0</v>
      </c>
      <c r="S73" s="38" t="s">
        <v>58</v>
      </c>
      <c r="T73" s="6" t="s">
        <v>1</v>
      </c>
      <c r="U73" s="6" t="s">
        <v>59</v>
      </c>
    </row>
    <row r="74" spans="2:21" ht="18" customHeight="1">
      <c r="C74" s="7" t="s">
        <v>6</v>
      </c>
      <c r="D74" s="3" t="s">
        <v>25</v>
      </c>
      <c r="E74" s="8">
        <f>E68</f>
        <v>3189.8</v>
      </c>
      <c r="F74" s="1">
        <f>1/(30*1200)*E74</f>
        <v>8.8605555555555562E-2</v>
      </c>
      <c r="J74" s="188" t="s">
        <v>101</v>
      </c>
      <c r="K74" s="7" t="s">
        <v>6</v>
      </c>
      <c r="L74" s="3" t="s">
        <v>105</v>
      </c>
      <c r="M74" s="1">
        <f>'Encarregado '!C$169</f>
        <v>5493.1992562333526</v>
      </c>
      <c r="N74" s="1">
        <f>1/(30*6000)*M74</f>
        <v>3.0517773645740848E-2</v>
      </c>
      <c r="R74" s="7" t="s">
        <v>6</v>
      </c>
      <c r="S74" s="3" t="s">
        <v>25</v>
      </c>
      <c r="T74" s="8">
        <f>T68</f>
        <v>3123.76</v>
      </c>
      <c r="U74" s="9">
        <f>1/(30*1200)*T74</f>
        <v>8.6771111111111118E-2</v>
      </c>
    </row>
    <row r="75" spans="2:21" ht="18" customHeight="1">
      <c r="C75" s="10" t="s">
        <v>2</v>
      </c>
      <c r="D75" s="4" t="s">
        <v>19</v>
      </c>
      <c r="E75" s="2">
        <f>E69</f>
        <v>2588.58</v>
      </c>
      <c r="F75" s="1">
        <f>(1/1200)*E75</f>
        <v>2.1571500000000001</v>
      </c>
      <c r="J75" s="189"/>
      <c r="K75" s="7" t="s">
        <v>180</v>
      </c>
      <c r="L75" s="4" t="s">
        <v>106</v>
      </c>
      <c r="M75" s="19">
        <f>'Aux Limpeza 800m'!C$169</f>
        <v>4262.4154281856408</v>
      </c>
      <c r="N75" s="1">
        <f>(1/6000)*M75</f>
        <v>0.71040257136427343</v>
      </c>
      <c r="R75" s="10" t="s">
        <v>2</v>
      </c>
      <c r="S75" s="4" t="s">
        <v>19</v>
      </c>
      <c r="T75" s="8">
        <f>T69</f>
        <v>2712.22</v>
      </c>
      <c r="U75" s="9">
        <f>(1/1200)*T75</f>
        <v>2.2601833333333334</v>
      </c>
    </row>
    <row r="76" spans="2:21" ht="18" customHeight="1">
      <c r="C76" s="193" t="s">
        <v>37</v>
      </c>
      <c r="D76" s="194"/>
      <c r="E76" s="195"/>
      <c r="F76" s="26">
        <f>SUM(F74:F75)</f>
        <v>2.2457555555555557</v>
      </c>
      <c r="J76" s="198" t="s">
        <v>37</v>
      </c>
      <c r="K76" s="198"/>
      <c r="L76" s="198"/>
      <c r="M76" s="198"/>
      <c r="N76" s="26">
        <f>SUM(N74:N75)</f>
        <v>0.74092034501001425</v>
      </c>
      <c r="R76" s="193" t="s">
        <v>37</v>
      </c>
      <c r="S76" s="194"/>
      <c r="T76" s="195"/>
      <c r="U76" s="11">
        <f>SUM(U74:U75)</f>
        <v>2.3469544444444446</v>
      </c>
    </row>
    <row r="78" spans="2:21" ht="18" customHeight="1">
      <c r="C78" s="35" t="s">
        <v>17</v>
      </c>
      <c r="D78" s="193" t="s">
        <v>20</v>
      </c>
      <c r="E78" s="194"/>
      <c r="F78" s="195"/>
      <c r="J78" s="198" t="s">
        <v>17</v>
      </c>
      <c r="K78" s="198"/>
      <c r="L78" s="193" t="s">
        <v>20</v>
      </c>
      <c r="M78" s="194"/>
      <c r="N78" s="195"/>
      <c r="R78" s="35" t="s">
        <v>17</v>
      </c>
      <c r="S78" s="193" t="s">
        <v>20</v>
      </c>
      <c r="T78" s="194"/>
      <c r="U78" s="195"/>
    </row>
    <row r="79" spans="2:21" ht="47.25">
      <c r="B79" s="2">
        <v>8</v>
      </c>
      <c r="C79" s="6" t="s">
        <v>0</v>
      </c>
      <c r="D79" s="38" t="s">
        <v>58</v>
      </c>
      <c r="E79" s="6" t="s">
        <v>1</v>
      </c>
      <c r="F79" s="6" t="s">
        <v>59</v>
      </c>
      <c r="J79" s="6" t="s">
        <v>81</v>
      </c>
      <c r="K79" s="6" t="s">
        <v>0</v>
      </c>
      <c r="L79" s="38" t="s">
        <v>58</v>
      </c>
      <c r="M79" s="6" t="s">
        <v>1</v>
      </c>
      <c r="N79" s="6" t="s">
        <v>59</v>
      </c>
      <c r="R79" s="6" t="s">
        <v>0</v>
      </c>
      <c r="S79" s="38" t="s">
        <v>58</v>
      </c>
      <c r="T79" s="6" t="s">
        <v>1</v>
      </c>
      <c r="U79" s="6" t="s">
        <v>59</v>
      </c>
    </row>
    <row r="80" spans="2:21" ht="18" customHeight="1">
      <c r="C80" s="7" t="s">
        <v>6</v>
      </c>
      <c r="D80" s="3" t="s">
        <v>24</v>
      </c>
      <c r="E80" s="8">
        <f>E74</f>
        <v>3189.8</v>
      </c>
      <c r="F80" s="1">
        <f>1/(30*1200)*E80</f>
        <v>8.8605555555555562E-2</v>
      </c>
      <c r="J80" s="188" t="s">
        <v>83</v>
      </c>
      <c r="K80" s="7" t="s">
        <v>6</v>
      </c>
      <c r="L80" s="3" t="s">
        <v>84</v>
      </c>
      <c r="M80" s="1">
        <f>'Encarregado '!C$169</f>
        <v>5493.1992562333526</v>
      </c>
      <c r="N80" s="1">
        <f>1/(30*1800)*M80</f>
        <v>0.1017259121524695</v>
      </c>
      <c r="R80" s="7" t="s">
        <v>6</v>
      </c>
      <c r="S80" s="3" t="s">
        <v>24</v>
      </c>
      <c r="T80" s="8">
        <f>T74</f>
        <v>3123.76</v>
      </c>
      <c r="U80" s="9">
        <f>1/(30*1200)*T80</f>
        <v>8.6771111111111118E-2</v>
      </c>
    </row>
    <row r="81" spans="2:23" ht="18" customHeight="1">
      <c r="C81" s="10" t="s">
        <v>2</v>
      </c>
      <c r="D81" s="4" t="s">
        <v>19</v>
      </c>
      <c r="E81" s="2">
        <f>E75</f>
        <v>2588.58</v>
      </c>
      <c r="F81" s="1">
        <f>(1/1200)*E81</f>
        <v>2.1571500000000001</v>
      </c>
      <c r="J81" s="189"/>
      <c r="K81" s="7" t="s">
        <v>180</v>
      </c>
      <c r="L81" s="4" t="s">
        <v>85</v>
      </c>
      <c r="M81" s="19">
        <f>'Aux Limpeza 800m'!C$169</f>
        <v>4262.4154281856408</v>
      </c>
      <c r="N81" s="1">
        <f>(1/1800)*M81</f>
        <v>2.3680085712142449</v>
      </c>
      <c r="R81" s="10" t="s">
        <v>2</v>
      </c>
      <c r="S81" s="4" t="s">
        <v>19</v>
      </c>
      <c r="T81" s="8">
        <f>T75</f>
        <v>2712.22</v>
      </c>
      <c r="U81" s="9">
        <f>(1/1200)*T81</f>
        <v>2.2601833333333334</v>
      </c>
    </row>
    <row r="82" spans="2:23" ht="18" customHeight="1">
      <c r="C82" s="193" t="s">
        <v>37</v>
      </c>
      <c r="D82" s="194"/>
      <c r="E82" s="195"/>
      <c r="F82" s="26">
        <f>SUM(F80:F81)</f>
        <v>2.2457555555555557</v>
      </c>
      <c r="J82" s="198" t="s">
        <v>37</v>
      </c>
      <c r="K82" s="198"/>
      <c r="L82" s="198"/>
      <c r="M82" s="198"/>
      <c r="N82" s="26">
        <f>SUM(N80:N81)</f>
        <v>2.4697344833667145</v>
      </c>
      <c r="R82" s="193" t="s">
        <v>37</v>
      </c>
      <c r="S82" s="194"/>
      <c r="T82" s="195"/>
      <c r="U82" s="11">
        <f>SUM(U80:U81)</f>
        <v>2.3469544444444446</v>
      </c>
    </row>
    <row r="83" spans="2:23" ht="18" customHeight="1">
      <c r="C83" s="14"/>
      <c r="D83" s="14"/>
      <c r="E83" s="14"/>
      <c r="F83" s="15"/>
      <c r="K83" s="14"/>
      <c r="L83" s="14"/>
      <c r="M83" s="14"/>
      <c r="N83" s="15"/>
      <c r="R83" s="14"/>
      <c r="S83" s="14"/>
      <c r="T83" s="14"/>
      <c r="U83" s="15"/>
    </row>
    <row r="84" spans="2:23" ht="18" customHeight="1">
      <c r="B84" s="35" t="s">
        <v>17</v>
      </c>
      <c r="C84" s="193" t="s">
        <v>21</v>
      </c>
      <c r="D84" s="218"/>
      <c r="E84" s="218"/>
      <c r="F84" s="218"/>
      <c r="G84" s="218"/>
      <c r="H84" s="219"/>
      <c r="I84" s="198" t="s">
        <v>17</v>
      </c>
      <c r="J84" s="198"/>
      <c r="K84" s="193" t="s">
        <v>21</v>
      </c>
      <c r="L84" s="218"/>
      <c r="M84" s="218"/>
      <c r="N84" s="218"/>
      <c r="O84" s="218"/>
      <c r="P84" s="219"/>
      <c r="Q84" s="35" t="s">
        <v>17</v>
      </c>
      <c r="R84" s="193" t="s">
        <v>21</v>
      </c>
      <c r="S84" s="218"/>
      <c r="T84" s="218"/>
      <c r="U84" s="218"/>
      <c r="V84" s="218"/>
      <c r="W84" s="219"/>
    </row>
    <row r="85" spans="2:23" ht="47.25">
      <c r="B85" s="6" t="s">
        <v>0</v>
      </c>
      <c r="C85" s="38" t="s">
        <v>58</v>
      </c>
      <c r="D85" s="6" t="s">
        <v>33</v>
      </c>
      <c r="E85" s="6" t="s">
        <v>34</v>
      </c>
      <c r="F85" s="6" t="s">
        <v>35</v>
      </c>
      <c r="G85" s="6" t="s">
        <v>60</v>
      </c>
      <c r="H85" s="6" t="s">
        <v>61</v>
      </c>
      <c r="I85" s="6" t="s">
        <v>81</v>
      </c>
      <c r="J85" s="6" t="s">
        <v>0</v>
      </c>
      <c r="K85" s="38" t="s">
        <v>58</v>
      </c>
      <c r="L85" s="6" t="s">
        <v>33</v>
      </c>
      <c r="M85" s="6" t="s">
        <v>34</v>
      </c>
      <c r="N85" s="6" t="s">
        <v>35</v>
      </c>
      <c r="O85" s="6" t="s">
        <v>60</v>
      </c>
      <c r="P85" s="6" t="s">
        <v>61</v>
      </c>
      <c r="Q85" s="6" t="s">
        <v>0</v>
      </c>
      <c r="R85" s="38" t="s">
        <v>58</v>
      </c>
      <c r="S85" s="6" t="s">
        <v>33</v>
      </c>
      <c r="T85" s="6" t="s">
        <v>34</v>
      </c>
      <c r="U85" s="6" t="s">
        <v>35</v>
      </c>
      <c r="V85" s="6" t="s">
        <v>60</v>
      </c>
      <c r="W85" s="6" t="s">
        <v>61</v>
      </c>
    </row>
    <row r="86" spans="2:23" ht="18" customHeight="1">
      <c r="B86" s="7" t="s">
        <v>6</v>
      </c>
      <c r="C86" s="3" t="s">
        <v>31</v>
      </c>
      <c r="D86" s="16">
        <v>16</v>
      </c>
      <c r="E86" s="5" t="s">
        <v>38</v>
      </c>
      <c r="F86" s="17">
        <f>(1/(30*220))*D86*(1/191.4)</f>
        <v>1.2665843386846523E-5</v>
      </c>
      <c r="G86" s="8">
        <f>E80</f>
        <v>3189.8</v>
      </c>
      <c r="H86" s="9">
        <f>F86*G86</f>
        <v>4.0401507235363038E-2</v>
      </c>
      <c r="I86" s="188" t="s">
        <v>89</v>
      </c>
      <c r="J86" s="7" t="s">
        <v>6</v>
      </c>
      <c r="K86" s="3" t="s">
        <v>94</v>
      </c>
      <c r="L86" s="16">
        <v>8</v>
      </c>
      <c r="M86" s="5" t="s">
        <v>92</v>
      </c>
      <c r="N86" s="17">
        <f>(1/(4*130))*L86*(1/1132.6)</f>
        <v>1.3583449924611855E-5</v>
      </c>
      <c r="O86" s="1">
        <f>'Encarregado '!C169</f>
        <v>5493.1992562333526</v>
      </c>
      <c r="P86" s="9">
        <f>N86*O86</f>
        <v>7.4616597022960834E-2</v>
      </c>
      <c r="Q86" s="7" t="s">
        <v>6</v>
      </c>
      <c r="R86" s="3" t="s">
        <v>23</v>
      </c>
      <c r="S86" s="16">
        <v>16</v>
      </c>
      <c r="T86" s="5" t="s">
        <v>38</v>
      </c>
      <c r="U86" s="17">
        <f>(1/(30*110))*S86*(1/191.4)</f>
        <v>2.5331686773693045E-5</v>
      </c>
      <c r="V86" s="16">
        <f>T80</f>
        <v>3123.76</v>
      </c>
      <c r="W86" s="9">
        <f>U86*V86</f>
        <v>7.9130109876191387E-2</v>
      </c>
    </row>
    <row r="87" spans="2:23" ht="18" customHeight="1">
      <c r="B87" s="10" t="s">
        <v>2</v>
      </c>
      <c r="C87" s="4" t="s">
        <v>32</v>
      </c>
      <c r="D87" s="5">
        <v>16</v>
      </c>
      <c r="E87" s="5" t="s">
        <v>38</v>
      </c>
      <c r="F87" s="17">
        <f>(1/220)*D87*(1/191.4)</f>
        <v>3.7997530160539561E-4</v>
      </c>
      <c r="G87" s="2">
        <f>E81</f>
        <v>2588.58</v>
      </c>
      <c r="H87" s="9">
        <f>F87*G87</f>
        <v>0.98359646622969499</v>
      </c>
      <c r="I87" s="189"/>
      <c r="J87" s="7" t="s">
        <v>180</v>
      </c>
      <c r="K87" s="42" t="s">
        <v>90</v>
      </c>
      <c r="L87" s="43">
        <v>8</v>
      </c>
      <c r="M87" s="5" t="s">
        <v>92</v>
      </c>
      <c r="N87" s="44">
        <f>(1/130)*L87*(1/1132.6)</f>
        <v>5.4333799698447419E-5</v>
      </c>
      <c r="O87" s="19">
        <f>'Aux Limpeza 800m'!C169</f>
        <v>4262.4154281856408</v>
      </c>
      <c r="P87" s="9">
        <f>N87*O87</f>
        <v>0.23159322610661059</v>
      </c>
      <c r="Q87" s="10" t="s">
        <v>2</v>
      </c>
      <c r="R87" s="4" t="s">
        <v>22</v>
      </c>
      <c r="S87" s="16">
        <v>16</v>
      </c>
      <c r="T87" s="5" t="s">
        <v>38</v>
      </c>
      <c r="U87" s="17">
        <f>(1/110)*S87*(1/191.4)</f>
        <v>7.5995060321079123E-4</v>
      </c>
      <c r="V87" s="8">
        <f>T81</f>
        <v>2712.22</v>
      </c>
      <c r="W87" s="9">
        <f>U87*V87</f>
        <v>2.0611532250403721</v>
      </c>
    </row>
    <row r="88" spans="2:23" ht="18" customHeight="1">
      <c r="B88" s="193" t="s">
        <v>37</v>
      </c>
      <c r="C88" s="194"/>
      <c r="D88" s="194"/>
      <c r="E88" s="194"/>
      <c r="F88" s="194"/>
      <c r="G88" s="195"/>
      <c r="H88" s="26">
        <f>SUM(H86:H87)</f>
        <v>1.0239979734650579</v>
      </c>
      <c r="I88" s="198" t="s">
        <v>37</v>
      </c>
      <c r="J88" s="198"/>
      <c r="K88" s="198"/>
      <c r="L88" s="198"/>
      <c r="M88" s="198"/>
      <c r="N88" s="198"/>
      <c r="O88" s="198"/>
      <c r="P88" s="26">
        <f>SUM(P86:P87)</f>
        <v>0.30620982312957146</v>
      </c>
      <c r="Q88" s="193" t="s">
        <v>37</v>
      </c>
      <c r="R88" s="194"/>
      <c r="S88" s="194"/>
      <c r="T88" s="194"/>
      <c r="U88" s="194"/>
      <c r="V88" s="195"/>
      <c r="W88" s="11">
        <f>SUM(W86:W87)</f>
        <v>2.1402833349165635</v>
      </c>
    </row>
    <row r="90" spans="2:23" ht="18" customHeight="1">
      <c r="B90" s="35" t="s">
        <v>17</v>
      </c>
      <c r="C90" s="193" t="s">
        <v>52</v>
      </c>
      <c r="D90" s="194"/>
      <c r="E90" s="194"/>
      <c r="F90" s="194"/>
      <c r="G90" s="194"/>
      <c r="H90" s="195"/>
      <c r="I90" s="198" t="s">
        <v>17</v>
      </c>
      <c r="J90" s="198"/>
      <c r="K90" s="193" t="s">
        <v>52</v>
      </c>
      <c r="L90" s="194"/>
      <c r="M90" s="194"/>
      <c r="N90" s="194"/>
      <c r="O90" s="194"/>
      <c r="P90" s="195"/>
      <c r="Q90" s="35" t="s">
        <v>17</v>
      </c>
      <c r="R90" s="193" t="s">
        <v>52</v>
      </c>
      <c r="S90" s="194"/>
      <c r="T90" s="194"/>
      <c r="U90" s="194"/>
      <c r="V90" s="194"/>
      <c r="W90" s="195"/>
    </row>
    <row r="91" spans="2:23" ht="47.25">
      <c r="B91" s="6" t="s">
        <v>0</v>
      </c>
      <c r="C91" s="38" t="s">
        <v>58</v>
      </c>
      <c r="D91" s="6" t="s">
        <v>33</v>
      </c>
      <c r="E91" s="6" t="s">
        <v>34</v>
      </c>
      <c r="F91" s="6" t="s">
        <v>35</v>
      </c>
      <c r="G91" s="6" t="s">
        <v>60</v>
      </c>
      <c r="H91" s="6" t="s">
        <v>61</v>
      </c>
      <c r="I91" s="6" t="s">
        <v>81</v>
      </c>
      <c r="J91" s="6" t="s">
        <v>0</v>
      </c>
      <c r="K91" s="38" t="s">
        <v>58</v>
      </c>
      <c r="L91" s="6" t="s">
        <v>33</v>
      </c>
      <c r="M91" s="6" t="s">
        <v>34</v>
      </c>
      <c r="N91" s="6" t="s">
        <v>35</v>
      </c>
      <c r="O91" s="6" t="s">
        <v>60</v>
      </c>
      <c r="P91" s="6" t="s">
        <v>61</v>
      </c>
      <c r="Q91" s="6" t="s">
        <v>0</v>
      </c>
      <c r="R91" s="38" t="s">
        <v>58</v>
      </c>
      <c r="S91" s="6" t="s">
        <v>33</v>
      </c>
      <c r="T91" s="6" t="s">
        <v>34</v>
      </c>
      <c r="U91" s="6" t="s">
        <v>35</v>
      </c>
      <c r="V91" s="6" t="s">
        <v>60</v>
      </c>
      <c r="W91" s="6" t="s">
        <v>61</v>
      </c>
    </row>
    <row r="92" spans="2:23">
      <c r="B92" s="7" t="s">
        <v>6</v>
      </c>
      <c r="C92" s="3" t="s">
        <v>31</v>
      </c>
      <c r="D92" s="16">
        <v>16</v>
      </c>
      <c r="E92" s="5" t="s">
        <v>38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188" t="s">
        <v>88</v>
      </c>
      <c r="J92" s="7" t="s">
        <v>6</v>
      </c>
      <c r="K92" s="3" t="s">
        <v>86</v>
      </c>
      <c r="L92" s="16">
        <v>16</v>
      </c>
      <c r="M92" s="5" t="s">
        <v>91</v>
      </c>
      <c r="N92" s="17">
        <f>(1/(30*300))*L92*(1/188.76)</f>
        <v>9.418191236373056E-6</v>
      </c>
      <c r="O92" s="1">
        <f>'Encarregado '!C169</f>
        <v>5493.1992562333526</v>
      </c>
      <c r="P92" s="9">
        <f>N92*O92</f>
        <v>5.1736001094707953E-2</v>
      </c>
      <c r="Q92" s="7" t="s">
        <v>6</v>
      </c>
      <c r="R92" s="3" t="s">
        <v>31</v>
      </c>
      <c r="S92" s="16">
        <v>16</v>
      </c>
      <c r="T92" s="5" t="s">
        <v>38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3">
      <c r="B93" s="10" t="s">
        <v>2</v>
      </c>
      <c r="C93" s="4" t="s">
        <v>32</v>
      </c>
      <c r="D93" s="5">
        <v>16</v>
      </c>
      <c r="E93" s="5" t="s">
        <v>38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189"/>
      <c r="J93" s="7" t="s">
        <v>180</v>
      </c>
      <c r="K93" s="42" t="s">
        <v>87</v>
      </c>
      <c r="L93" s="43">
        <v>16</v>
      </c>
      <c r="M93" s="5" t="s">
        <v>91</v>
      </c>
      <c r="N93" s="44">
        <f>(1/300)*L93*(1/188.76)</f>
        <v>2.8254573709119167E-4</v>
      </c>
      <c r="O93" s="19">
        <f>'Aux Limpeza 800m'!C169</f>
        <v>4262.4154281856408</v>
      </c>
      <c r="P93" s="9">
        <f>N93*O93</f>
        <v>1.2043273089455793</v>
      </c>
      <c r="Q93" s="10" t="s">
        <v>2</v>
      </c>
      <c r="R93" s="4" t="s">
        <v>32</v>
      </c>
      <c r="S93" s="16">
        <v>16</v>
      </c>
      <c r="T93" s="5" t="s">
        <v>38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3">
      <c r="B94" s="193" t="s">
        <v>37</v>
      </c>
      <c r="C94" s="194"/>
      <c r="D94" s="194"/>
      <c r="E94" s="194"/>
      <c r="F94" s="194"/>
      <c r="G94" s="195"/>
      <c r="H94" s="26">
        <f>SUM(H92:H93)</f>
        <v>1.0239979734650579</v>
      </c>
      <c r="I94" s="198" t="s">
        <v>37</v>
      </c>
      <c r="J94" s="198"/>
      <c r="K94" s="198"/>
      <c r="L94" s="198"/>
      <c r="M94" s="198"/>
      <c r="N94" s="198"/>
      <c r="O94" s="198"/>
      <c r="P94" s="26">
        <f>SUM(P92:P93)</f>
        <v>1.2560633100402872</v>
      </c>
      <c r="Q94" s="193" t="s">
        <v>37</v>
      </c>
      <c r="R94" s="194"/>
      <c r="S94" s="194"/>
      <c r="T94" s="194"/>
      <c r="U94" s="194"/>
      <c r="V94" s="195"/>
      <c r="W94" s="11">
        <f>SUM(W92:W93)</f>
        <v>1.0701416674582818</v>
      </c>
    </row>
    <row r="95" spans="2:23">
      <c r="B95" s="14"/>
      <c r="C95" s="14"/>
      <c r="D95" s="14"/>
      <c r="E95" s="14"/>
      <c r="F95" s="14"/>
      <c r="G95" s="14"/>
      <c r="H95" s="15"/>
      <c r="I95" s="15"/>
      <c r="J95" s="14"/>
      <c r="K95" s="14"/>
      <c r="L95" s="14"/>
      <c r="M95" s="14"/>
      <c r="N95" s="14"/>
      <c r="O95" s="14"/>
      <c r="P95" s="15"/>
      <c r="Q95" s="14"/>
      <c r="R95" s="14"/>
      <c r="S95" s="14"/>
      <c r="T95" s="14"/>
      <c r="U95" s="14"/>
      <c r="V95" s="14"/>
      <c r="W95" s="15"/>
    </row>
    <row r="96" spans="2:23">
      <c r="B96" s="35" t="s">
        <v>17</v>
      </c>
      <c r="C96" s="193" t="s">
        <v>51</v>
      </c>
      <c r="D96" s="194"/>
      <c r="E96" s="194"/>
      <c r="F96" s="194"/>
      <c r="G96" s="194"/>
      <c r="H96" s="195"/>
      <c r="I96" s="198" t="s">
        <v>17</v>
      </c>
      <c r="J96" s="198"/>
      <c r="K96" s="193" t="s">
        <v>51</v>
      </c>
      <c r="L96" s="194"/>
      <c r="M96" s="194"/>
      <c r="N96" s="194"/>
      <c r="O96" s="194"/>
      <c r="P96" s="195"/>
      <c r="Q96" s="35" t="s">
        <v>17</v>
      </c>
      <c r="R96" s="193" t="s">
        <v>51</v>
      </c>
      <c r="S96" s="194"/>
      <c r="T96" s="194"/>
      <c r="U96" s="194"/>
      <c r="V96" s="194"/>
      <c r="W96" s="195"/>
    </row>
    <row r="97" spans="2:28" ht="47.25">
      <c r="B97" s="6" t="s">
        <v>0</v>
      </c>
      <c r="C97" s="38" t="s">
        <v>58</v>
      </c>
      <c r="D97" s="6" t="s">
        <v>33</v>
      </c>
      <c r="E97" s="6" t="s">
        <v>34</v>
      </c>
      <c r="F97" s="6" t="s">
        <v>35</v>
      </c>
      <c r="G97" s="6" t="s">
        <v>60</v>
      </c>
      <c r="H97" s="6" t="s">
        <v>61</v>
      </c>
      <c r="I97" s="6" t="s">
        <v>81</v>
      </c>
      <c r="J97" s="6" t="s">
        <v>0</v>
      </c>
      <c r="K97" s="38" t="s">
        <v>58</v>
      </c>
      <c r="L97" s="6" t="s">
        <v>33</v>
      </c>
      <c r="M97" s="6" t="s">
        <v>34</v>
      </c>
      <c r="N97" s="6" t="s">
        <v>35</v>
      </c>
      <c r="O97" s="6" t="s">
        <v>60</v>
      </c>
      <c r="P97" s="6" t="s">
        <v>61</v>
      </c>
      <c r="Q97" s="6" t="s">
        <v>0</v>
      </c>
      <c r="R97" s="38" t="s">
        <v>58</v>
      </c>
      <c r="S97" s="6" t="s">
        <v>33</v>
      </c>
      <c r="T97" s="6" t="s">
        <v>34</v>
      </c>
      <c r="U97" s="6" t="s">
        <v>35</v>
      </c>
      <c r="V97" s="6" t="s">
        <v>60</v>
      </c>
      <c r="W97" s="6" t="s">
        <v>61</v>
      </c>
    </row>
    <row r="98" spans="2:28">
      <c r="B98" s="7" t="s">
        <v>6</v>
      </c>
      <c r="C98" s="3" t="s">
        <v>31</v>
      </c>
      <c r="D98" s="16">
        <v>16</v>
      </c>
      <c r="E98" s="5" t="s">
        <v>65</v>
      </c>
      <c r="F98" s="17">
        <f>(1/(30*220))*D98*(1/191.4)</f>
        <v>1.2665843386846523E-5</v>
      </c>
      <c r="G98" s="8">
        <f>G92</f>
        <v>3189.8</v>
      </c>
      <c r="H98" s="9">
        <f>F98*G98</f>
        <v>4.0401507235363038E-2</v>
      </c>
      <c r="I98" s="188" t="s">
        <v>88</v>
      </c>
      <c r="J98" s="7" t="s">
        <v>6</v>
      </c>
      <c r="K98" s="3" t="s">
        <v>86</v>
      </c>
      <c r="L98" s="16">
        <v>16</v>
      </c>
      <c r="M98" s="5" t="s">
        <v>91</v>
      </c>
      <c r="N98" s="17">
        <f>(1/(30*300))*L98*(1/188.76)</f>
        <v>9.418191236373056E-6</v>
      </c>
      <c r="O98" s="1">
        <f>'Encarregado '!C169</f>
        <v>5493.1992562333526</v>
      </c>
      <c r="P98" s="9">
        <f>N98*O98</f>
        <v>5.1736001094707953E-2</v>
      </c>
      <c r="Q98" s="7" t="s">
        <v>6</v>
      </c>
      <c r="R98" s="3" t="s">
        <v>31</v>
      </c>
      <c r="S98" s="16">
        <v>16</v>
      </c>
      <c r="T98" s="5" t="s">
        <v>38</v>
      </c>
      <c r="U98" s="17">
        <f>(1/(30*220))*S98*(1/191.4)</f>
        <v>1.2665843386846523E-5</v>
      </c>
      <c r="V98" s="16">
        <f>V92</f>
        <v>3123.76</v>
      </c>
      <c r="W98" s="9">
        <f>U98*V98</f>
        <v>3.9565054938095694E-2</v>
      </c>
    </row>
    <row r="99" spans="2:28">
      <c r="B99" s="10" t="s">
        <v>2</v>
      </c>
      <c r="C99" s="4" t="s">
        <v>32</v>
      </c>
      <c r="D99" s="5">
        <v>16</v>
      </c>
      <c r="E99" s="5" t="s">
        <v>38</v>
      </c>
      <c r="F99" s="17">
        <f>(1/220)*D99*(1/191.4)</f>
        <v>3.7997530160539561E-4</v>
      </c>
      <c r="G99" s="2">
        <f>G93</f>
        <v>2588.58</v>
      </c>
      <c r="H99" s="9">
        <f>F99*G99</f>
        <v>0.98359646622969499</v>
      </c>
      <c r="I99" s="189"/>
      <c r="J99" s="7" t="s">
        <v>180</v>
      </c>
      <c r="K99" s="42" t="s">
        <v>87</v>
      </c>
      <c r="L99" s="43">
        <v>16</v>
      </c>
      <c r="M99" s="5" t="s">
        <v>91</v>
      </c>
      <c r="N99" s="44">
        <f>(1/300)*L99*(1/188.76)</f>
        <v>2.8254573709119167E-4</v>
      </c>
      <c r="O99" s="19">
        <f>'Aux Limpeza 800m'!C169</f>
        <v>4262.4154281856408</v>
      </c>
      <c r="P99" s="9">
        <f>N99*O99</f>
        <v>1.2043273089455793</v>
      </c>
      <c r="Q99" s="10" t="s">
        <v>2</v>
      </c>
      <c r="R99" s="4" t="s">
        <v>32</v>
      </c>
      <c r="S99" s="16">
        <v>16</v>
      </c>
      <c r="T99" s="5" t="s">
        <v>38</v>
      </c>
      <c r="U99" s="17">
        <f>(1/220)*S99*(1/191.4)</f>
        <v>3.7997530160539561E-4</v>
      </c>
      <c r="V99" s="8">
        <f>V93</f>
        <v>2712.22</v>
      </c>
      <c r="W99" s="9">
        <f>U99*V99</f>
        <v>1.0305766125201861</v>
      </c>
    </row>
    <row r="100" spans="2:28">
      <c r="B100" s="193" t="s">
        <v>37</v>
      </c>
      <c r="C100" s="194"/>
      <c r="D100" s="194"/>
      <c r="E100" s="194"/>
      <c r="F100" s="194"/>
      <c r="G100" s="195"/>
      <c r="H100" s="26">
        <f>SUM(H98:H99)</f>
        <v>1.0239979734650579</v>
      </c>
      <c r="I100" s="198" t="s">
        <v>37</v>
      </c>
      <c r="J100" s="198"/>
      <c r="K100" s="198"/>
      <c r="L100" s="198"/>
      <c r="M100" s="198"/>
      <c r="N100" s="198"/>
      <c r="O100" s="198"/>
      <c r="P100" s="26">
        <f>SUM(P98:P99)</f>
        <v>1.2560633100402872</v>
      </c>
      <c r="Q100" s="193" t="s">
        <v>37</v>
      </c>
      <c r="R100" s="194"/>
      <c r="S100" s="194"/>
      <c r="T100" s="194"/>
      <c r="U100" s="194"/>
      <c r="V100" s="195"/>
      <c r="W100" s="11">
        <f>SUM(W98:W99)</f>
        <v>1.0701416674582818</v>
      </c>
    </row>
    <row r="101" spans="2:28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8">
      <c r="B102" s="35" t="s">
        <v>17</v>
      </c>
      <c r="C102" s="193" t="s">
        <v>66</v>
      </c>
      <c r="D102" s="194"/>
      <c r="E102" s="194"/>
      <c r="F102" s="194"/>
      <c r="G102" s="194"/>
      <c r="H102" s="195"/>
      <c r="I102" s="198" t="s">
        <v>17</v>
      </c>
      <c r="J102" s="198"/>
      <c r="K102" s="193" t="s">
        <v>68</v>
      </c>
      <c r="L102" s="194"/>
      <c r="M102" s="194"/>
      <c r="N102" s="194"/>
      <c r="O102" s="194"/>
      <c r="P102" s="195"/>
      <c r="Q102" s="27"/>
      <c r="R102" s="27"/>
      <c r="S102" s="27"/>
      <c r="T102" s="27"/>
      <c r="U102" s="27"/>
      <c r="V102" s="27"/>
      <c r="W102" s="28"/>
    </row>
    <row r="103" spans="2:28" ht="47.25">
      <c r="B103" s="6" t="s">
        <v>0</v>
      </c>
      <c r="C103" s="38" t="s">
        <v>58</v>
      </c>
      <c r="D103" s="6" t="s">
        <v>33</v>
      </c>
      <c r="E103" s="6" t="s">
        <v>34</v>
      </c>
      <c r="F103" s="6" t="s">
        <v>35</v>
      </c>
      <c r="G103" s="6" t="s">
        <v>60</v>
      </c>
      <c r="H103" s="6" t="s">
        <v>61</v>
      </c>
      <c r="I103" s="6" t="s">
        <v>81</v>
      </c>
      <c r="J103" s="6" t="s">
        <v>0</v>
      </c>
      <c r="K103" s="38" t="s">
        <v>58</v>
      </c>
      <c r="L103" s="6" t="s">
        <v>33</v>
      </c>
      <c r="M103" s="6" t="s">
        <v>34</v>
      </c>
      <c r="N103" s="6" t="s">
        <v>35</v>
      </c>
      <c r="O103" s="6" t="s">
        <v>60</v>
      </c>
      <c r="P103" s="6" t="s">
        <v>61</v>
      </c>
      <c r="Q103" s="27"/>
      <c r="R103" s="27"/>
      <c r="S103" s="27"/>
      <c r="T103" s="27"/>
      <c r="U103" s="27"/>
      <c r="V103" s="27"/>
      <c r="W103" s="28"/>
    </row>
    <row r="104" spans="2:28">
      <c r="B104" s="7" t="s">
        <v>6</v>
      </c>
      <c r="C104" s="3" t="s">
        <v>23</v>
      </c>
      <c r="D104" s="16">
        <v>8</v>
      </c>
      <c r="E104" s="5" t="s">
        <v>67</v>
      </c>
      <c r="F104" s="17">
        <f>(1/(4*110))*D104*(1/1148.4)</f>
        <v>1.5832304233558149E-5</v>
      </c>
      <c r="G104" s="8">
        <f>G98</f>
        <v>3189.8</v>
      </c>
      <c r="H104" s="1">
        <f>F104*G104</f>
        <v>5.050188404420379E-2</v>
      </c>
      <c r="I104" s="188" t="s">
        <v>89</v>
      </c>
      <c r="J104" s="7" t="s">
        <v>6</v>
      </c>
      <c r="K104" s="3" t="s">
        <v>94</v>
      </c>
      <c r="L104" s="16">
        <v>8</v>
      </c>
      <c r="M104" s="5" t="s">
        <v>92</v>
      </c>
      <c r="N104" s="17">
        <f>(1/(4*130))*L104*(1/1132.6)</f>
        <v>1.3583449924611855E-5</v>
      </c>
      <c r="O104" s="1">
        <f>'Encarregado '!C169</f>
        <v>5493.1992562333526</v>
      </c>
      <c r="P104" s="1">
        <f>N104*O104</f>
        <v>7.4616597022960834E-2</v>
      </c>
      <c r="Q104" s="27"/>
      <c r="R104" s="27"/>
      <c r="S104" s="27"/>
      <c r="T104" s="27"/>
      <c r="U104" s="27"/>
      <c r="V104" s="27"/>
      <c r="W104" s="28"/>
    </row>
    <row r="105" spans="2:28">
      <c r="B105" s="10" t="s">
        <v>2</v>
      </c>
      <c r="C105" s="4" t="s">
        <v>22</v>
      </c>
      <c r="D105" s="5">
        <v>8</v>
      </c>
      <c r="E105" s="5" t="s">
        <v>67</v>
      </c>
      <c r="F105" s="17">
        <f>(1/(110))*D105*(1/1148.4)</f>
        <v>6.3329216934232598E-5</v>
      </c>
      <c r="G105" s="2">
        <f>G99</f>
        <v>2588.58</v>
      </c>
      <c r="H105" s="1">
        <f>F105*G105</f>
        <v>0.16393274437161581</v>
      </c>
      <c r="I105" s="189"/>
      <c r="J105" s="7" t="s">
        <v>180</v>
      </c>
      <c r="K105" s="42" t="s">
        <v>90</v>
      </c>
      <c r="L105" s="43">
        <v>8</v>
      </c>
      <c r="M105" s="5" t="s">
        <v>92</v>
      </c>
      <c r="N105" s="44">
        <f>(1/(130))*L105*(1/1132.6)</f>
        <v>5.4333799698447419E-5</v>
      </c>
      <c r="O105" s="19">
        <f>'Aux Limpeza 800m'!C169</f>
        <v>4262.4154281856408</v>
      </c>
      <c r="P105" s="1">
        <f>N105*O105</f>
        <v>0.23159322610661059</v>
      </c>
      <c r="Q105" s="27"/>
      <c r="R105" s="27"/>
      <c r="S105" s="27"/>
      <c r="T105" s="27"/>
      <c r="U105" s="27"/>
      <c r="V105" s="27"/>
      <c r="W105" s="28"/>
    </row>
    <row r="106" spans="2:28">
      <c r="B106" s="193" t="s">
        <v>37</v>
      </c>
      <c r="C106" s="194"/>
      <c r="D106" s="194"/>
      <c r="E106" s="194"/>
      <c r="F106" s="194"/>
      <c r="G106" s="195"/>
      <c r="H106" s="26">
        <f>SUM(H104:H105)</f>
        <v>0.21443462841581962</v>
      </c>
      <c r="I106" s="198" t="s">
        <v>37</v>
      </c>
      <c r="J106" s="198"/>
      <c r="K106" s="198"/>
      <c r="L106" s="198"/>
      <c r="M106" s="198"/>
      <c r="N106" s="198"/>
      <c r="O106" s="198"/>
      <c r="P106" s="26">
        <f>SUM(P104:P105)</f>
        <v>0.30620982312957146</v>
      </c>
      <c r="Q106" s="27"/>
      <c r="R106" s="27"/>
      <c r="S106" s="27"/>
      <c r="T106" s="27"/>
      <c r="U106" s="27"/>
      <c r="V106" s="27"/>
      <c r="W106" s="28"/>
    </row>
    <row r="107" spans="2:28">
      <c r="B107" s="14"/>
      <c r="C107" s="14"/>
      <c r="D107" s="14"/>
      <c r="E107" s="14"/>
      <c r="F107" s="14"/>
      <c r="G107" s="14"/>
      <c r="H107" s="29"/>
      <c r="I107" s="15"/>
      <c r="J107" s="14"/>
      <c r="K107" s="14"/>
      <c r="L107" s="14"/>
      <c r="M107" s="14"/>
      <c r="N107" s="14"/>
      <c r="O107" s="14"/>
      <c r="P107" s="29"/>
      <c r="Q107" s="27"/>
      <c r="R107" s="27"/>
      <c r="S107" s="27"/>
      <c r="T107" s="27"/>
      <c r="U107" s="27"/>
      <c r="V107" s="27"/>
      <c r="W107" s="28"/>
    </row>
    <row r="108" spans="2:28" ht="15.75">
      <c r="J108" s="196" t="s">
        <v>150</v>
      </c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</row>
    <row r="109" spans="2:28" ht="45">
      <c r="B109" s="216" t="s">
        <v>39</v>
      </c>
      <c r="C109" s="216"/>
      <c r="D109" s="216"/>
      <c r="E109" s="38" t="s">
        <v>62</v>
      </c>
      <c r="F109" s="38" t="s">
        <v>40</v>
      </c>
      <c r="G109" s="38" t="s">
        <v>41</v>
      </c>
      <c r="J109" s="217" t="s">
        <v>39</v>
      </c>
      <c r="K109" s="217"/>
      <c r="L109" s="217"/>
      <c r="M109" s="6" t="s">
        <v>62</v>
      </c>
      <c r="N109" s="6" t="s">
        <v>40</v>
      </c>
      <c r="O109" s="6" t="s">
        <v>41</v>
      </c>
      <c r="P109" s="6" t="s">
        <v>148</v>
      </c>
      <c r="Q109" s="202"/>
      <c r="R109" s="202"/>
      <c r="S109" s="202"/>
      <c r="T109" s="47"/>
      <c r="U109" s="47"/>
      <c r="V109" s="47"/>
      <c r="W109" s="48"/>
      <c r="X109" s="6" t="s">
        <v>149</v>
      </c>
      <c r="AB109" s="70" t="s">
        <v>314</v>
      </c>
    </row>
    <row r="110" spans="2:28">
      <c r="B110" s="204" t="s">
        <v>4</v>
      </c>
      <c r="C110" s="205"/>
      <c r="D110" s="205"/>
      <c r="E110" s="205"/>
      <c r="F110" s="205"/>
      <c r="G110" s="206"/>
      <c r="J110" s="199" t="s">
        <v>4</v>
      </c>
      <c r="K110" s="200"/>
      <c r="L110" s="200"/>
      <c r="M110" s="200"/>
      <c r="N110" s="200"/>
      <c r="O110" s="201"/>
      <c r="P110" s="5"/>
      <c r="Q110" s="49"/>
      <c r="R110" s="49"/>
      <c r="S110" s="49"/>
      <c r="T110" s="49"/>
      <c r="U110" s="49"/>
      <c r="V110" s="49"/>
      <c r="W110" s="49"/>
      <c r="X110" s="5"/>
    </row>
    <row r="111" spans="2:28">
      <c r="B111" s="207" t="s">
        <v>42</v>
      </c>
      <c r="C111" s="208"/>
      <c r="D111" s="208"/>
      <c r="E111" s="19">
        <f>ROUND(F9,2)</f>
        <v>4.49</v>
      </c>
      <c r="F111" s="23">
        <v>87672.41</v>
      </c>
      <c r="G111" s="18">
        <f>E111*F111</f>
        <v>393649.12090000004</v>
      </c>
      <c r="I111" s="2">
        <v>1</v>
      </c>
      <c r="J111" s="190" t="s">
        <v>42</v>
      </c>
      <c r="K111" s="190"/>
      <c r="L111" s="190"/>
      <c r="M111" s="1">
        <f>N9</f>
        <v>5.5569025875751077</v>
      </c>
      <c r="N111" s="1">
        <v>75751.431061000068</v>
      </c>
      <c r="O111" s="45">
        <f>M111*N111</f>
        <v>420943.32327538868</v>
      </c>
      <c r="P111" s="1">
        <f>N111/800</f>
        <v>94.689288826250092</v>
      </c>
      <c r="Q111" s="191"/>
      <c r="R111" s="191"/>
      <c r="S111" s="191"/>
      <c r="T111" s="1"/>
      <c r="U111" s="1"/>
      <c r="V111" s="1"/>
      <c r="W111" s="1"/>
      <c r="X111" s="1">
        <f>P111/30</f>
        <v>3.1563096275416695</v>
      </c>
      <c r="Z111" s="23">
        <f>81000+3181.4</f>
        <v>84181.4</v>
      </c>
      <c r="AA111" s="1">
        <f>135+5</f>
        <v>140</v>
      </c>
      <c r="AB111" s="23">
        <f>N111/AA111</f>
        <v>541.08165043571478</v>
      </c>
    </row>
    <row r="112" spans="2:28">
      <c r="B112" s="33"/>
      <c r="C112" s="34"/>
      <c r="D112" s="34"/>
      <c r="E112" s="19"/>
      <c r="F112" s="23"/>
      <c r="G112" s="20"/>
      <c r="I112" s="2">
        <v>2</v>
      </c>
      <c r="J112" s="190" t="s">
        <v>80</v>
      </c>
      <c r="K112" s="190"/>
      <c r="L112" s="190"/>
      <c r="M112" s="1">
        <f>N15</f>
        <v>5.5569025875751077</v>
      </c>
      <c r="N112" s="1">
        <v>0</v>
      </c>
      <c r="O112" s="45">
        <f t="shared" ref="O112:O120" si="0">M112*N112</f>
        <v>0</v>
      </c>
      <c r="P112" s="1">
        <f>N112/800</f>
        <v>0</v>
      </c>
      <c r="Q112" s="64"/>
      <c r="R112" s="64"/>
      <c r="S112" s="64"/>
      <c r="T112" s="1"/>
      <c r="U112" s="1"/>
      <c r="V112" s="1"/>
      <c r="W112" s="1"/>
      <c r="X112" s="1">
        <f t="shared" ref="X112:X120" si="1">P112/30</f>
        <v>0</v>
      </c>
    </row>
    <row r="113" spans="2:28">
      <c r="B113" s="207" t="s">
        <v>8</v>
      </c>
      <c r="C113" s="208"/>
      <c r="D113" s="208"/>
      <c r="E113" s="19">
        <v>4.49</v>
      </c>
      <c r="F113" s="2">
        <v>21690.33</v>
      </c>
      <c r="G113" s="20">
        <f>E113*F113</f>
        <v>97389.58170000001</v>
      </c>
      <c r="I113" s="2">
        <v>3</v>
      </c>
      <c r="J113" s="190" t="s">
        <v>8</v>
      </c>
      <c r="K113" s="190"/>
      <c r="L113" s="190"/>
      <c r="M113" s="1">
        <f>N21</f>
        <v>12.348672416833573</v>
      </c>
      <c r="N113" s="1">
        <v>17684.170000000002</v>
      </c>
      <c r="O113" s="45">
        <f>M113*N113</f>
        <v>218376.02229359577</v>
      </c>
      <c r="P113" s="1">
        <f>N113/360</f>
        <v>49.122694444444448</v>
      </c>
      <c r="Q113" s="191"/>
      <c r="R113" s="191"/>
      <c r="S113" s="191"/>
      <c r="T113" s="1"/>
      <c r="U113" s="1"/>
      <c r="V113" s="1"/>
      <c r="W113" s="1"/>
      <c r="X113" s="1">
        <f t="shared" si="1"/>
        <v>1.6374231481481483</v>
      </c>
      <c r="Z113" s="19">
        <f>19800+290.72</f>
        <v>20090.72</v>
      </c>
      <c r="AA113" s="1">
        <v>60</v>
      </c>
      <c r="AB113" s="19">
        <f>N113/AA113</f>
        <v>294.73616666666669</v>
      </c>
    </row>
    <row r="114" spans="2:28">
      <c r="B114" s="33"/>
      <c r="C114" s="34"/>
      <c r="D114" s="34"/>
      <c r="E114" s="19"/>
      <c r="G114" s="20"/>
      <c r="I114" s="2">
        <v>4</v>
      </c>
      <c r="J114" s="190" t="s">
        <v>147</v>
      </c>
      <c r="K114" s="190"/>
      <c r="L114" s="190"/>
      <c r="M114" s="1">
        <f>N27</f>
        <v>13.995077963299495</v>
      </c>
      <c r="N114" s="1">
        <v>111.26</v>
      </c>
      <c r="O114" s="45">
        <f>M114*N114</f>
        <v>1557.0923741967019</v>
      </c>
      <c r="P114" s="1">
        <f t="shared" ref="P114" si="2">N114/360</f>
        <v>0.30905555555555558</v>
      </c>
      <c r="Q114" s="64"/>
      <c r="R114" s="64"/>
      <c r="S114" s="64"/>
      <c r="T114" s="1"/>
      <c r="U114" s="1"/>
      <c r="V114" s="1"/>
      <c r="W114" s="1"/>
      <c r="X114" s="1">
        <f t="shared" si="1"/>
        <v>1.0301851851851852E-2</v>
      </c>
      <c r="Y114" s="19"/>
      <c r="AA114" s="1"/>
    </row>
    <row r="115" spans="2:28">
      <c r="B115" s="33"/>
      <c r="C115" s="34"/>
      <c r="D115" s="34"/>
      <c r="E115" s="19"/>
      <c r="G115" s="20"/>
      <c r="J115" s="190" t="s">
        <v>108</v>
      </c>
      <c r="K115" s="190"/>
      <c r="L115" s="190"/>
      <c r="M115" s="1">
        <f>N33</f>
        <v>15.641483509765415</v>
      </c>
      <c r="N115" s="1">
        <v>1067.94</v>
      </c>
      <c r="O115" s="45">
        <f>M115*N115</f>
        <v>16704.165899418877</v>
      </c>
      <c r="P115" s="1">
        <f>N115/360</f>
        <v>2.9665000000000004</v>
      </c>
      <c r="Q115" s="64"/>
      <c r="R115" s="64"/>
      <c r="S115" s="64"/>
      <c r="T115" s="1"/>
      <c r="U115" s="1"/>
      <c r="V115" s="1"/>
      <c r="W115" s="1"/>
      <c r="X115" s="1">
        <f>P115/30</f>
        <v>9.8883333333333351E-2</v>
      </c>
      <c r="AA115" s="1"/>
    </row>
    <row r="116" spans="2:28">
      <c r="B116" s="207" t="s">
        <v>43</v>
      </c>
      <c r="C116" s="208"/>
      <c r="D116" s="208"/>
      <c r="E116" s="19">
        <v>4.49</v>
      </c>
      <c r="F116" s="2">
        <v>254.12</v>
      </c>
      <c r="G116" s="20">
        <f t="shared" ref="G116:G117" si="3">E116*F116</f>
        <v>1140.9988000000001</v>
      </c>
      <c r="I116" s="2">
        <v>5</v>
      </c>
      <c r="J116" s="213" t="s">
        <v>43</v>
      </c>
      <c r="K116" s="214"/>
      <c r="L116" s="215"/>
      <c r="M116" s="1">
        <f>N40</f>
        <v>2.963681380040057</v>
      </c>
      <c r="N116" s="1">
        <v>2642.79</v>
      </c>
      <c r="O116" s="45">
        <f t="shared" si="0"/>
        <v>7832.3875143560617</v>
      </c>
      <c r="P116" s="1">
        <f>N116/1500</f>
        <v>1.76186</v>
      </c>
      <c r="Q116" s="191"/>
      <c r="R116" s="191"/>
      <c r="S116" s="191"/>
      <c r="T116" s="1"/>
      <c r="U116" s="1"/>
      <c r="V116" s="1"/>
      <c r="W116" s="1"/>
      <c r="X116" s="1">
        <f t="shared" si="1"/>
        <v>5.8728666666666665E-2</v>
      </c>
      <c r="Z116" s="2">
        <v>254.12</v>
      </c>
      <c r="AA116" s="1">
        <v>0.18823703703703704</v>
      </c>
      <c r="AB116" s="2">
        <f>N116/AA116</f>
        <v>14039.691877852983</v>
      </c>
    </row>
    <row r="117" spans="2:28">
      <c r="B117" s="207" t="s">
        <v>44</v>
      </c>
      <c r="C117" s="208"/>
      <c r="D117" s="208"/>
      <c r="E117" s="19">
        <v>4.49</v>
      </c>
      <c r="F117" s="2">
        <v>395.74</v>
      </c>
      <c r="G117" s="20">
        <f t="shared" si="3"/>
        <v>1776.8726000000001</v>
      </c>
      <c r="I117" s="2">
        <v>6</v>
      </c>
      <c r="J117" s="190" t="s">
        <v>12</v>
      </c>
      <c r="K117" s="190"/>
      <c r="L117" s="190"/>
      <c r="M117" s="1">
        <f>N46</f>
        <v>3.7046017250500718</v>
      </c>
      <c r="N117" s="1">
        <v>695.78</v>
      </c>
      <c r="O117" s="45">
        <f t="shared" si="0"/>
        <v>2577.5877882553386</v>
      </c>
      <c r="P117" s="1">
        <f>N117/1200</f>
        <v>0.57981666666666665</v>
      </c>
      <c r="Q117" s="191"/>
      <c r="R117" s="191"/>
      <c r="S117" s="191"/>
      <c r="T117" s="1"/>
      <c r="U117" s="1"/>
      <c r="V117" s="1"/>
      <c r="W117" s="1"/>
      <c r="X117" s="1">
        <f>P117/30</f>
        <v>1.9327222222222221E-2</v>
      </c>
      <c r="Z117" s="2">
        <v>395.74</v>
      </c>
      <c r="AA117" s="1">
        <v>0.32978333333333332</v>
      </c>
      <c r="AB117" s="2">
        <f>N117/AA117</f>
        <v>2109.8094708647091</v>
      </c>
    </row>
    <row r="118" spans="2:28">
      <c r="B118" s="33"/>
      <c r="C118" s="34"/>
      <c r="D118" s="34"/>
      <c r="E118" s="19"/>
      <c r="G118" s="20"/>
      <c r="I118" s="2">
        <v>7</v>
      </c>
      <c r="J118" s="190" t="s">
        <v>45</v>
      </c>
      <c r="K118" s="190"/>
      <c r="L118" s="190"/>
      <c r="M118" s="1">
        <f>N52</f>
        <v>4.4455220700600853</v>
      </c>
      <c r="N118" s="1">
        <v>49426.10325</v>
      </c>
      <c r="O118" s="45">
        <f t="shared" si="0"/>
        <v>219724.83283494352</v>
      </c>
      <c r="P118" s="1">
        <f>N118/1000</f>
        <v>49.426103249999997</v>
      </c>
      <c r="Q118" s="64"/>
      <c r="R118" s="64"/>
      <c r="S118" s="64"/>
      <c r="T118" s="1"/>
      <c r="U118" s="1"/>
      <c r="V118" s="1"/>
      <c r="W118" s="1"/>
      <c r="X118" s="1">
        <f t="shared" si="1"/>
        <v>1.6475367749999998</v>
      </c>
      <c r="Z118" s="21">
        <v>7616.73</v>
      </c>
      <c r="AA118" s="1">
        <v>9.5209124999999997</v>
      </c>
      <c r="AB118" s="2">
        <f>N118/AA118</f>
        <v>5191.3199758951678</v>
      </c>
    </row>
    <row r="119" spans="2:28">
      <c r="B119" s="33"/>
      <c r="C119" s="34"/>
      <c r="D119" s="34"/>
      <c r="E119" s="19"/>
      <c r="G119" s="20"/>
      <c r="I119" s="2">
        <v>8</v>
      </c>
      <c r="J119" s="190" t="s">
        <v>70</v>
      </c>
      <c r="K119" s="190"/>
      <c r="L119" s="190"/>
      <c r="M119" s="1">
        <f>N57</f>
        <v>21.312077140928206</v>
      </c>
      <c r="N119" s="1"/>
      <c r="O119" s="45">
        <f t="shared" si="0"/>
        <v>0</v>
      </c>
      <c r="P119" s="1">
        <f>N119/200</f>
        <v>0</v>
      </c>
      <c r="Q119" s="191"/>
      <c r="R119" s="191"/>
      <c r="S119" s="191"/>
      <c r="T119" s="1"/>
      <c r="U119" s="1"/>
      <c r="V119" s="1"/>
      <c r="W119" s="1"/>
      <c r="X119" s="1">
        <f t="shared" si="1"/>
        <v>0</v>
      </c>
      <c r="AA119" s="1"/>
    </row>
    <row r="120" spans="2:28">
      <c r="B120" s="211" t="s">
        <v>45</v>
      </c>
      <c r="C120" s="212"/>
      <c r="D120" s="212"/>
      <c r="E120" s="19">
        <f>ROUND(F52,2)</f>
        <v>4.49</v>
      </c>
      <c r="F120" s="21">
        <v>7616.73</v>
      </c>
      <c r="G120" s="22">
        <f t="shared" ref="G120" si="4">E120*F120</f>
        <v>34199.117700000003</v>
      </c>
      <c r="I120" s="2">
        <v>9</v>
      </c>
      <c r="J120" s="190" t="s">
        <v>109</v>
      </c>
      <c r="K120" s="190"/>
      <c r="L120" s="190"/>
      <c r="M120" s="1">
        <f>N64</f>
        <v>28.154670317577743</v>
      </c>
      <c r="N120" s="1">
        <v>5772.7499999999982</v>
      </c>
      <c r="O120" s="45">
        <f t="shared" si="0"/>
        <v>162529.87307579687</v>
      </c>
      <c r="P120" s="1">
        <f>N120/200</f>
        <v>28.863749999999992</v>
      </c>
      <c r="Q120" s="191"/>
      <c r="R120" s="191"/>
      <c r="S120" s="191"/>
      <c r="T120" s="1"/>
      <c r="U120" s="1"/>
      <c r="V120" s="1"/>
      <c r="W120" s="1"/>
      <c r="X120" s="1">
        <f t="shared" si="1"/>
        <v>0.96212499999999979</v>
      </c>
      <c r="AA120" s="1"/>
    </row>
    <row r="121" spans="2:28">
      <c r="B121" s="204" t="s">
        <v>17</v>
      </c>
      <c r="C121" s="205"/>
      <c r="D121" s="205"/>
      <c r="E121" s="205"/>
      <c r="F121" s="205"/>
      <c r="G121" s="206"/>
      <c r="J121" s="199" t="s">
        <v>17</v>
      </c>
      <c r="K121" s="200"/>
      <c r="L121" s="200"/>
      <c r="M121" s="200"/>
      <c r="N121" s="200"/>
      <c r="O121" s="201"/>
      <c r="P121" s="1"/>
      <c r="Q121" s="65"/>
      <c r="R121" s="65"/>
      <c r="S121" s="65"/>
      <c r="T121" s="65"/>
      <c r="U121" s="65"/>
      <c r="V121" s="65"/>
      <c r="W121" s="65"/>
      <c r="X121" s="1"/>
      <c r="AA121" s="1"/>
    </row>
    <row r="122" spans="2:28">
      <c r="B122" s="209" t="s">
        <v>15</v>
      </c>
      <c r="C122" s="210"/>
      <c r="D122" s="210"/>
      <c r="E122" s="19">
        <f>ROUND(F70,2)</f>
        <v>2.25</v>
      </c>
      <c r="F122" s="23">
        <v>11806.6</v>
      </c>
      <c r="G122" s="18">
        <f>E122*F122</f>
        <v>26564.850000000002</v>
      </c>
      <c r="I122" s="2">
        <v>10</v>
      </c>
      <c r="J122" s="190" t="s">
        <v>15</v>
      </c>
      <c r="K122" s="190"/>
      <c r="L122" s="190"/>
      <c r="M122" s="1">
        <f>N70</f>
        <v>2.4697344833667145</v>
      </c>
      <c r="N122" s="45">
        <v>17032.018</v>
      </c>
      <c r="O122" s="45">
        <f>M122*N122</f>
        <v>42064.562175922583</v>
      </c>
      <c r="P122" s="1">
        <f>N122/1800</f>
        <v>9.462232222222223</v>
      </c>
      <c r="Q122" s="191"/>
      <c r="R122" s="191"/>
      <c r="S122" s="191"/>
      <c r="T122" s="1"/>
      <c r="U122" s="1"/>
      <c r="V122" s="1"/>
      <c r="W122" s="1"/>
      <c r="X122" s="1">
        <f>P122/30</f>
        <v>0.31540774074074079</v>
      </c>
      <c r="Z122" s="19">
        <v>6000</v>
      </c>
      <c r="AA122" s="1">
        <v>5</v>
      </c>
      <c r="AB122" s="2">
        <f>N122/AA122</f>
        <v>3406.4036000000001</v>
      </c>
    </row>
    <row r="123" spans="2:28">
      <c r="B123" s="207" t="s">
        <v>46</v>
      </c>
      <c r="C123" s="208"/>
      <c r="D123" s="208"/>
      <c r="E123" s="19">
        <f>ROUND(F76,2)</f>
        <v>2.25</v>
      </c>
      <c r="F123" s="23">
        <v>23494.7</v>
      </c>
      <c r="G123" s="20">
        <f>E123*F123</f>
        <v>52863.075000000004</v>
      </c>
      <c r="I123" s="2">
        <v>11</v>
      </c>
      <c r="J123" s="190" t="s">
        <v>46</v>
      </c>
      <c r="K123" s="190"/>
      <c r="L123" s="190"/>
      <c r="M123" s="1">
        <f>N76</f>
        <v>0.74092034501001425</v>
      </c>
      <c r="N123" s="45">
        <v>51466.65</v>
      </c>
      <c r="O123" s="45">
        <f t="shared" ref="O123:O127" si="5">M123*N123</f>
        <v>38132.68807450965</v>
      </c>
      <c r="P123" s="1">
        <f>N123/6000</f>
        <v>8.5777750000000008</v>
      </c>
      <c r="Q123" s="191"/>
      <c r="R123" s="191"/>
      <c r="S123" s="191"/>
      <c r="T123" s="1"/>
      <c r="U123" s="1"/>
      <c r="V123" s="1"/>
      <c r="W123" s="1"/>
      <c r="X123" s="1">
        <f t="shared" ref="X123:X127" si="6">P123/30</f>
        <v>0.28592583333333338</v>
      </c>
      <c r="Y123" s="23"/>
      <c r="Z123" s="19">
        <v>19200</v>
      </c>
      <c r="AA123" s="1">
        <v>3.2</v>
      </c>
      <c r="AB123" s="2">
        <f>N123/AA123</f>
        <v>16083.328125</v>
      </c>
    </row>
    <row r="124" spans="2:28">
      <c r="B124" s="207" t="s">
        <v>69</v>
      </c>
      <c r="C124" s="208"/>
      <c r="D124" s="208"/>
      <c r="E124" s="2">
        <v>2.25</v>
      </c>
      <c r="F124" s="2">
        <v>23765.05</v>
      </c>
      <c r="G124" s="20">
        <f>E124*F124</f>
        <v>53471.362499999996</v>
      </c>
      <c r="I124" s="2">
        <v>12</v>
      </c>
      <c r="J124" s="190" t="s">
        <v>69</v>
      </c>
      <c r="K124" s="190"/>
      <c r="L124" s="190"/>
      <c r="M124" s="1">
        <f>N82</f>
        <v>2.4697344833667145</v>
      </c>
      <c r="N124" s="45">
        <v>23788.279999999988</v>
      </c>
      <c r="O124" s="45">
        <f>M124*N124</f>
        <v>58750.735415982715</v>
      </c>
      <c r="P124" s="1">
        <f>N124/1800</f>
        <v>13.215711111111105</v>
      </c>
      <c r="Q124" s="191"/>
      <c r="R124" s="191"/>
      <c r="S124" s="191"/>
      <c r="T124" s="1"/>
      <c r="U124" s="1"/>
      <c r="V124" s="1"/>
      <c r="W124" s="1"/>
      <c r="X124" s="1">
        <f>P124/30</f>
        <v>0.44052370370370347</v>
      </c>
      <c r="Z124" s="19">
        <v>18000</v>
      </c>
      <c r="AA124" s="1">
        <v>15</v>
      </c>
      <c r="AB124" s="2">
        <f>N124/AA124</f>
        <v>1585.8853333333325</v>
      </c>
    </row>
    <row r="125" spans="2:28">
      <c r="B125" s="207" t="s">
        <v>47</v>
      </c>
      <c r="C125" s="208"/>
      <c r="D125" s="208"/>
      <c r="E125" s="2" t="s">
        <v>53</v>
      </c>
      <c r="F125" s="2" t="s">
        <v>53</v>
      </c>
      <c r="G125" s="24" t="s">
        <v>53</v>
      </c>
      <c r="I125" s="2">
        <v>13</v>
      </c>
      <c r="J125" s="190" t="s">
        <v>47</v>
      </c>
      <c r="K125" s="190"/>
      <c r="L125" s="190"/>
      <c r="M125" s="1">
        <f>N82</f>
        <v>2.4697344833667145</v>
      </c>
      <c r="N125" s="45">
        <v>0</v>
      </c>
      <c r="O125" s="45">
        <f t="shared" si="5"/>
        <v>0</v>
      </c>
      <c r="P125" s="1">
        <v>0</v>
      </c>
      <c r="Q125" s="191"/>
      <c r="R125" s="191"/>
      <c r="S125" s="191"/>
      <c r="T125" s="1"/>
      <c r="U125" s="1"/>
      <c r="V125" s="1"/>
      <c r="W125" s="1"/>
      <c r="X125" s="1">
        <f t="shared" si="6"/>
        <v>0</v>
      </c>
      <c r="AA125" s="1"/>
    </row>
    <row r="126" spans="2:28">
      <c r="B126" s="207" t="s">
        <v>47</v>
      </c>
      <c r="C126" s="208"/>
      <c r="D126" s="208"/>
      <c r="E126" s="19" t="s">
        <v>53</v>
      </c>
      <c r="F126" s="23" t="s">
        <v>53</v>
      </c>
      <c r="G126" s="24" t="s">
        <v>53</v>
      </c>
      <c r="I126" s="2">
        <v>14</v>
      </c>
      <c r="J126" s="190" t="s">
        <v>175</v>
      </c>
      <c r="K126" s="190"/>
      <c r="L126" s="190"/>
      <c r="M126" s="1">
        <f>N82</f>
        <v>2.4697344833667145</v>
      </c>
      <c r="N126" s="45">
        <v>0</v>
      </c>
      <c r="O126" s="45">
        <f t="shared" si="5"/>
        <v>0</v>
      </c>
      <c r="P126" s="1">
        <v>0</v>
      </c>
      <c r="Q126" s="191"/>
      <c r="R126" s="191"/>
      <c r="S126" s="191"/>
      <c r="T126" s="1"/>
      <c r="U126" s="1"/>
      <c r="V126" s="1"/>
      <c r="W126" s="1"/>
      <c r="X126" s="1">
        <f t="shared" si="6"/>
        <v>0</v>
      </c>
      <c r="AA126" s="1"/>
    </row>
    <row r="127" spans="2:28">
      <c r="B127" s="211" t="s">
        <v>68</v>
      </c>
      <c r="C127" s="212"/>
      <c r="D127" s="212"/>
      <c r="E127" s="19">
        <f>H106</f>
        <v>0.21443462841581962</v>
      </c>
      <c r="F127" s="23">
        <v>4628.38</v>
      </c>
      <c r="G127" s="30">
        <v>971.96</v>
      </c>
      <c r="I127" s="2">
        <v>15</v>
      </c>
      <c r="J127" s="190" t="s">
        <v>68</v>
      </c>
      <c r="K127" s="190"/>
      <c r="L127" s="190"/>
      <c r="M127" s="1">
        <f>P106</f>
        <v>0.30620982312957146</v>
      </c>
      <c r="N127" s="45">
        <v>0</v>
      </c>
      <c r="O127" s="45">
        <f t="shared" si="5"/>
        <v>0</v>
      </c>
      <c r="P127" s="1">
        <f>N127/N105</f>
        <v>0</v>
      </c>
      <c r="Q127" s="191"/>
      <c r="R127" s="191"/>
      <c r="S127" s="191"/>
      <c r="T127" s="1"/>
      <c r="U127" s="1"/>
      <c r="V127" s="1"/>
      <c r="W127" s="1"/>
      <c r="X127" s="1">
        <f t="shared" si="6"/>
        <v>0</v>
      </c>
      <c r="Z127" s="23">
        <v>4628.38</v>
      </c>
      <c r="AA127" s="1">
        <v>0.28999999999999998</v>
      </c>
    </row>
    <row r="128" spans="2:28">
      <c r="B128" s="204" t="s">
        <v>54</v>
      </c>
      <c r="C128" s="205"/>
      <c r="D128" s="205"/>
      <c r="E128" s="205"/>
      <c r="F128" s="205"/>
      <c r="G128" s="206"/>
      <c r="J128" s="199" t="s">
        <v>54</v>
      </c>
      <c r="K128" s="200"/>
      <c r="L128" s="200"/>
      <c r="M128" s="200"/>
      <c r="N128" s="200"/>
      <c r="O128" s="201"/>
      <c r="P128" s="1"/>
      <c r="Q128" s="65"/>
      <c r="R128" s="65"/>
      <c r="S128" s="65"/>
      <c r="T128" s="65"/>
      <c r="U128" s="65"/>
      <c r="V128" s="65"/>
      <c r="W128" s="65"/>
      <c r="X128" s="1"/>
      <c r="AA128" s="1"/>
    </row>
    <row r="129" spans="2:27">
      <c r="B129" s="207" t="s">
        <v>48</v>
      </c>
      <c r="C129" s="208"/>
      <c r="D129" s="208"/>
      <c r="E129" s="19">
        <f>ROUND(H88,2)</f>
        <v>1.02</v>
      </c>
      <c r="F129" s="2">
        <v>9066.64</v>
      </c>
      <c r="G129" s="20">
        <f>E129*F129</f>
        <v>9247.9727999999996</v>
      </c>
      <c r="I129" s="2">
        <v>16</v>
      </c>
      <c r="J129" s="190" t="s">
        <v>48</v>
      </c>
      <c r="K129" s="190"/>
      <c r="L129" s="190"/>
      <c r="M129" s="1">
        <f>P88</f>
        <v>0.30620982312957146</v>
      </c>
      <c r="N129" s="45">
        <v>6349.1080000000002</v>
      </c>
      <c r="O129" s="45">
        <f>M129*N129</f>
        <v>1944.1592377105471</v>
      </c>
      <c r="P129" s="1">
        <f>N129*N87</f>
        <v>0.3449711623358101</v>
      </c>
      <c r="Q129" s="191"/>
      <c r="R129" s="191"/>
      <c r="S129" s="191"/>
      <c r="T129" s="1"/>
      <c r="U129" s="1"/>
      <c r="V129" s="1"/>
      <c r="W129" s="1"/>
      <c r="X129" s="1">
        <f>P129/30</f>
        <v>1.1499038744527004E-2</v>
      </c>
      <c r="Y129" s="23"/>
      <c r="Z129" s="2">
        <f>9066.64+353.82</f>
        <v>9420.4599999999991</v>
      </c>
      <c r="AA129" s="1">
        <v>3.45</v>
      </c>
    </row>
    <row r="130" spans="2:27">
      <c r="B130" s="207" t="s">
        <v>49</v>
      </c>
      <c r="C130" s="208"/>
      <c r="D130" s="208"/>
      <c r="E130" s="19"/>
      <c r="F130" s="19"/>
      <c r="G130" s="20"/>
      <c r="I130" s="2">
        <v>17</v>
      </c>
      <c r="J130" s="190" t="s">
        <v>49</v>
      </c>
      <c r="K130" s="190"/>
      <c r="L130" s="190"/>
      <c r="M130" s="1">
        <f>P94</f>
        <v>1.2560633100402872</v>
      </c>
      <c r="N130" s="46">
        <v>9473.5799999999945</v>
      </c>
      <c r="O130" s="45">
        <f t="shared" ref="O130:O131" si="7">M130*N130</f>
        <v>11899.416252731457</v>
      </c>
      <c r="P130" s="1">
        <f>N130*N93</f>
        <v>2.6767196439923699</v>
      </c>
      <c r="Q130" s="191"/>
      <c r="R130" s="191"/>
      <c r="S130" s="191"/>
      <c r="T130" s="1"/>
      <c r="U130" s="1"/>
      <c r="V130" s="1"/>
      <c r="W130" s="1"/>
      <c r="X130" s="1">
        <f t="shared" ref="X130:X131" si="8">P130/30</f>
        <v>8.9223988133078996E-2</v>
      </c>
      <c r="Z130" s="19"/>
      <c r="AA130" s="1"/>
    </row>
    <row r="131" spans="2:27">
      <c r="B131" s="211" t="s">
        <v>50</v>
      </c>
      <c r="C131" s="212"/>
      <c r="D131" s="212"/>
      <c r="E131" s="19">
        <f>ROUND(H100,2)</f>
        <v>1.02</v>
      </c>
      <c r="F131" s="21">
        <v>13714.65</v>
      </c>
      <c r="G131" s="22">
        <f t="shared" ref="G131" si="9">E131*F131</f>
        <v>13988.942999999999</v>
      </c>
      <c r="I131" s="2">
        <v>18</v>
      </c>
      <c r="J131" s="190" t="s">
        <v>50</v>
      </c>
      <c r="K131" s="190"/>
      <c r="L131" s="190"/>
      <c r="M131" s="1">
        <f>P100</f>
        <v>1.2560633100402872</v>
      </c>
      <c r="N131" s="46">
        <v>15330.017999999998</v>
      </c>
      <c r="O131" s="45">
        <f t="shared" si="7"/>
        <v>19255.47315205718</v>
      </c>
      <c r="P131" s="1">
        <f>N131*N99</f>
        <v>4.3314312354312356</v>
      </c>
      <c r="Q131" s="191"/>
      <c r="R131" s="191"/>
      <c r="S131" s="191"/>
      <c r="T131" s="1"/>
      <c r="U131" s="1"/>
      <c r="V131" s="1"/>
      <c r="W131" s="1"/>
      <c r="X131" s="1">
        <f t="shared" si="8"/>
        <v>0.1443810411810412</v>
      </c>
      <c r="Z131" s="21">
        <v>13714.65</v>
      </c>
      <c r="AA131" s="1">
        <v>5.21</v>
      </c>
    </row>
    <row r="132" spans="2:27">
      <c r="B132" s="199" t="s">
        <v>3</v>
      </c>
      <c r="C132" s="200"/>
      <c r="D132" s="200"/>
      <c r="E132" s="200"/>
      <c r="F132" s="201"/>
      <c r="G132" s="31">
        <f>SUM(G111:G131)</f>
        <v>685263.85499999998</v>
      </c>
      <c r="J132" s="203" t="s">
        <v>93</v>
      </c>
      <c r="K132" s="203"/>
      <c r="L132" s="203"/>
      <c r="M132" s="203"/>
      <c r="N132" s="203"/>
      <c r="O132" s="31">
        <f>SUM(O111:O131)</f>
        <v>1222292.319364866</v>
      </c>
      <c r="P132" s="53">
        <f>SUM(P111:P131)</f>
        <v>266.32790911800953</v>
      </c>
      <c r="Q132" s="192"/>
      <c r="R132" s="192"/>
      <c r="S132" s="192"/>
      <c r="T132" s="192"/>
      <c r="U132" s="192"/>
      <c r="V132" s="52"/>
      <c r="W132" s="51"/>
      <c r="X132" s="53">
        <f>SUM(X110:X131)</f>
        <v>8.8775969706003188</v>
      </c>
      <c r="AA132" s="53">
        <f>SUM(AA111:AA131)</f>
        <v>242.18893287037034</v>
      </c>
    </row>
    <row r="133" spans="2:27">
      <c r="J133" s="199" t="s">
        <v>107</v>
      </c>
      <c r="K133" s="200"/>
      <c r="L133" s="200"/>
      <c r="M133" s="200"/>
      <c r="N133" s="201"/>
      <c r="O133" s="50">
        <f>O132*12</f>
        <v>14667507.832378391</v>
      </c>
      <c r="Q133" s="49"/>
      <c r="R133" s="49"/>
      <c r="S133" s="49"/>
      <c r="T133" s="49"/>
      <c r="U133" s="49"/>
      <c r="V133" s="49"/>
      <c r="W133" s="49"/>
    </row>
    <row r="134" spans="2:27">
      <c r="F134" s="2">
        <v>12</v>
      </c>
      <c r="G134" s="32">
        <f>G132*F134</f>
        <v>8223166.2599999998</v>
      </c>
      <c r="M134" s="23"/>
      <c r="O134" s="32"/>
      <c r="P134" s="59"/>
    </row>
    <row r="135" spans="2:27">
      <c r="G135" s="32"/>
      <c r="J135" s="110" t="s">
        <v>458</v>
      </c>
      <c r="K135" s="23"/>
      <c r="M135" s="32"/>
    </row>
    <row r="136" spans="2:27">
      <c r="G136" s="32"/>
      <c r="K136" s="23"/>
      <c r="M136" s="32"/>
    </row>
    <row r="137" spans="2:27">
      <c r="J137" s="55"/>
      <c r="K137"/>
      <c r="L137" s="55"/>
      <c r="M137"/>
      <c r="O137" s="55"/>
      <c r="P137"/>
    </row>
    <row r="138" spans="2:27">
      <c r="J138" s="60"/>
      <c r="K138" s="61"/>
      <c r="L138" s="60"/>
      <c r="M138" s="61"/>
      <c r="N138" s="62"/>
      <c r="O138" s="60"/>
      <c r="P138" s="61"/>
    </row>
    <row r="139" spans="2:27">
      <c r="J139" s="57"/>
      <c r="K139" s="61"/>
      <c r="L139" s="57"/>
      <c r="M139" s="61"/>
      <c r="N139" s="62"/>
      <c r="O139" s="57"/>
      <c r="P139" s="61"/>
    </row>
    <row r="140" spans="2:27">
      <c r="J140" s="63"/>
      <c r="K140" s="61"/>
      <c r="L140" s="60"/>
      <c r="M140" s="61"/>
      <c r="N140" s="62"/>
      <c r="O140" s="60"/>
      <c r="P140" s="61"/>
    </row>
    <row r="141" spans="2:27">
      <c r="J141" s="54"/>
      <c r="K141" s="61"/>
      <c r="L141" s="54"/>
      <c r="M141" s="54"/>
      <c r="N141" s="62"/>
      <c r="O141" s="54"/>
      <c r="P141" s="54"/>
    </row>
    <row r="142" spans="2:27">
      <c r="N142" s="23"/>
    </row>
    <row r="143" spans="2:27">
      <c r="M143" s="55"/>
      <c r="N143"/>
    </row>
    <row r="144" spans="2:27">
      <c r="M144" s="56"/>
      <c r="N144"/>
    </row>
    <row r="145" spans="13:14">
      <c r="M145" s="57"/>
      <c r="N145"/>
    </row>
    <row r="146" spans="13:14">
      <c r="M146" s="56"/>
      <c r="N146"/>
    </row>
    <row r="147" spans="13:14">
      <c r="M147" s="58"/>
      <c r="N147" s="58"/>
    </row>
  </sheetData>
  <mergeCells count="182">
    <mergeCell ref="J1:N1"/>
    <mergeCell ref="J33:M33"/>
    <mergeCell ref="J60:K60"/>
    <mergeCell ref="L60:N60"/>
    <mergeCell ref="J62:J63"/>
    <mergeCell ref="J64:M64"/>
    <mergeCell ref="D17:F17"/>
    <mergeCell ref="L17:N17"/>
    <mergeCell ref="S17:U17"/>
    <mergeCell ref="C21:E21"/>
    <mergeCell ref="R21:T21"/>
    <mergeCell ref="D48:F48"/>
    <mergeCell ref="L48:N48"/>
    <mergeCell ref="S48:U48"/>
    <mergeCell ref="C52:E52"/>
    <mergeCell ref="R52:T52"/>
    <mergeCell ref="D42:F42"/>
    <mergeCell ref="L42:N42"/>
    <mergeCell ref="S42:U42"/>
    <mergeCell ref="C46:E46"/>
    <mergeCell ref="R46:T46"/>
    <mergeCell ref="D36:F36"/>
    <mergeCell ref="S36:U36"/>
    <mergeCell ref="C40:E40"/>
    <mergeCell ref="D5:F5"/>
    <mergeCell ref="L5:N5"/>
    <mergeCell ref="S5:U5"/>
    <mergeCell ref="C9:E9"/>
    <mergeCell ref="R9:T9"/>
    <mergeCell ref="C2:F3"/>
    <mergeCell ref="R2:U3"/>
    <mergeCell ref="C4:F4"/>
    <mergeCell ref="R4:U4"/>
    <mergeCell ref="J2:N3"/>
    <mergeCell ref="R40:T40"/>
    <mergeCell ref="J4:N4"/>
    <mergeCell ref="J17:K17"/>
    <mergeCell ref="J36:K36"/>
    <mergeCell ref="J19:J20"/>
    <mergeCell ref="J38:J39"/>
    <mergeCell ref="J21:M21"/>
    <mergeCell ref="J40:M40"/>
    <mergeCell ref="J23:K23"/>
    <mergeCell ref="L23:N23"/>
    <mergeCell ref="J25:J26"/>
    <mergeCell ref="J27:M27"/>
    <mergeCell ref="C76:E76"/>
    <mergeCell ref="R76:T76"/>
    <mergeCell ref="D78:F78"/>
    <mergeCell ref="L78:N78"/>
    <mergeCell ref="S78:U78"/>
    <mergeCell ref="D66:F66"/>
    <mergeCell ref="L66:N66"/>
    <mergeCell ref="S66:U66"/>
    <mergeCell ref="R70:T70"/>
    <mergeCell ref="D72:F72"/>
    <mergeCell ref="L72:N72"/>
    <mergeCell ref="S72:U72"/>
    <mergeCell ref="J70:M70"/>
    <mergeCell ref="J76:M76"/>
    <mergeCell ref="J68:J69"/>
    <mergeCell ref="J74:J75"/>
    <mergeCell ref="J66:K66"/>
    <mergeCell ref="J72:K72"/>
    <mergeCell ref="J78:K78"/>
    <mergeCell ref="B88:G88"/>
    <mergeCell ref="Q88:V88"/>
    <mergeCell ref="C90:H90"/>
    <mergeCell ref="K90:P90"/>
    <mergeCell ref="R90:W90"/>
    <mergeCell ref="C82:E82"/>
    <mergeCell ref="R82:T82"/>
    <mergeCell ref="C84:H84"/>
    <mergeCell ref="K84:P84"/>
    <mergeCell ref="R84:W84"/>
    <mergeCell ref="J82:M82"/>
    <mergeCell ref="I86:I87"/>
    <mergeCell ref="I88:O88"/>
    <mergeCell ref="I84:J84"/>
    <mergeCell ref="I90:J90"/>
    <mergeCell ref="C102:H102"/>
    <mergeCell ref="K102:P102"/>
    <mergeCell ref="B106:G106"/>
    <mergeCell ref="I104:I105"/>
    <mergeCell ref="I102:J102"/>
    <mergeCell ref="I106:O106"/>
    <mergeCell ref="B113:D113"/>
    <mergeCell ref="J113:L113"/>
    <mergeCell ref="B94:G94"/>
    <mergeCell ref="C96:H96"/>
    <mergeCell ref="K96:P96"/>
    <mergeCell ref="I94:O94"/>
    <mergeCell ref="I98:I99"/>
    <mergeCell ref="I96:J96"/>
    <mergeCell ref="I100:O100"/>
    <mergeCell ref="B100:G100"/>
    <mergeCell ref="J110:O110"/>
    <mergeCell ref="B117:D117"/>
    <mergeCell ref="J117:L117"/>
    <mergeCell ref="J118:L118"/>
    <mergeCell ref="B120:D120"/>
    <mergeCell ref="J120:L120"/>
    <mergeCell ref="B116:D116"/>
    <mergeCell ref="J116:L116"/>
    <mergeCell ref="B109:D109"/>
    <mergeCell ref="J109:L109"/>
    <mergeCell ref="B110:G110"/>
    <mergeCell ref="B111:D111"/>
    <mergeCell ref="J111:L111"/>
    <mergeCell ref="J112:L112"/>
    <mergeCell ref="J115:L115"/>
    <mergeCell ref="B132:F132"/>
    <mergeCell ref="J132:N132"/>
    <mergeCell ref="B128:G128"/>
    <mergeCell ref="B129:D129"/>
    <mergeCell ref="J129:L129"/>
    <mergeCell ref="B130:D130"/>
    <mergeCell ref="J130:L130"/>
    <mergeCell ref="B121:G121"/>
    <mergeCell ref="B122:D122"/>
    <mergeCell ref="J122:L122"/>
    <mergeCell ref="B123:D123"/>
    <mergeCell ref="J123:L123"/>
    <mergeCell ref="J128:O128"/>
    <mergeCell ref="J121:O121"/>
    <mergeCell ref="B126:D126"/>
    <mergeCell ref="J126:L126"/>
    <mergeCell ref="B127:D127"/>
    <mergeCell ref="J127:L127"/>
    <mergeCell ref="B124:D124"/>
    <mergeCell ref="J124:L124"/>
    <mergeCell ref="B125:D125"/>
    <mergeCell ref="J125:L125"/>
    <mergeCell ref="B131:D131"/>
    <mergeCell ref="J131:L131"/>
    <mergeCell ref="J46:M46"/>
    <mergeCell ref="J52:M52"/>
    <mergeCell ref="L11:N11"/>
    <mergeCell ref="J7:J8"/>
    <mergeCell ref="J9:M9"/>
    <mergeCell ref="J15:M15"/>
    <mergeCell ref="J13:J14"/>
    <mergeCell ref="J11:K11"/>
    <mergeCell ref="J5:K5"/>
    <mergeCell ref="J29:K29"/>
    <mergeCell ref="L29:N29"/>
    <mergeCell ref="J31:J32"/>
    <mergeCell ref="J42:K42"/>
    <mergeCell ref="J48:K48"/>
    <mergeCell ref="J44:J45"/>
    <mergeCell ref="J50:J51"/>
    <mergeCell ref="L36:N36"/>
    <mergeCell ref="J56:J57"/>
    <mergeCell ref="J58:M58"/>
    <mergeCell ref="L54:N54"/>
    <mergeCell ref="J133:N133"/>
    <mergeCell ref="Q113:S113"/>
    <mergeCell ref="Q111:S111"/>
    <mergeCell ref="Q109:S109"/>
    <mergeCell ref="Q116:S116"/>
    <mergeCell ref="Q120:S120"/>
    <mergeCell ref="Q117:S117"/>
    <mergeCell ref="Q123:S123"/>
    <mergeCell ref="Q122:S122"/>
    <mergeCell ref="J54:K54"/>
    <mergeCell ref="I92:I93"/>
    <mergeCell ref="J80:J81"/>
    <mergeCell ref="J114:L114"/>
    <mergeCell ref="Q130:S130"/>
    <mergeCell ref="Q129:S129"/>
    <mergeCell ref="Q132:U132"/>
    <mergeCell ref="Q131:S131"/>
    <mergeCell ref="Q125:S125"/>
    <mergeCell ref="Q124:S124"/>
    <mergeCell ref="Q127:S127"/>
    <mergeCell ref="Q126:S126"/>
    <mergeCell ref="J119:L119"/>
    <mergeCell ref="Q119:S119"/>
    <mergeCell ref="Q94:V94"/>
    <mergeCell ref="R96:W96"/>
    <mergeCell ref="Q100:V100"/>
    <mergeCell ref="J108:X108"/>
  </mergeCells>
  <pageMargins left="0.25" right="0.25" top="0.28999999999999998" bottom="0.34" header="0.3" footer="0.3"/>
  <pageSetup paperSize="9" scale="67" fitToHeight="0" orientation="portrait" r:id="rId1"/>
  <rowBreaks count="2" manualBreakCount="2">
    <brk id="52" min="8" max="23" man="1"/>
    <brk id="94" min="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84"/>
  <sheetViews>
    <sheetView topLeftCell="A172" zoomScaleNormal="100" workbookViewId="0">
      <selection activeCell="A171" sqref="A171"/>
    </sheetView>
  </sheetViews>
  <sheetFormatPr defaultRowHeight="15"/>
  <cols>
    <col min="1" max="1" width="12.5703125" style="110" customWidth="1"/>
    <col min="2" max="2" width="63" style="110" customWidth="1"/>
    <col min="3" max="3" width="18" style="110" customWidth="1"/>
    <col min="4" max="4" width="17.7109375" style="110" customWidth="1"/>
    <col min="5" max="5" width="18.2851562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tr">
        <f>'Aux Limpeza 800m'!C11:E11</f>
        <v>AM000563/2023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1450</v>
      </c>
      <c r="D24" s="178"/>
      <c r="E24" s="178"/>
    </row>
    <row r="25" spans="1:5" ht="31.9" customHeight="1">
      <c r="A25" s="123">
        <v>3</v>
      </c>
      <c r="B25" s="127" t="s">
        <v>224</v>
      </c>
      <c r="C25" s="179" t="s">
        <v>311</v>
      </c>
      <c r="D25" s="179"/>
      <c r="E25" s="179"/>
    </row>
    <row r="26" spans="1:5">
      <c r="A26" s="123">
        <v>4</v>
      </c>
      <c r="B26" s="127" t="s">
        <v>226</v>
      </c>
      <c r="C26" s="180" t="str">
        <f>'Aux Limpeza 800m'!C26:E26</f>
        <v>01.01.2024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232</v>
      </c>
      <c r="C35" s="132"/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1450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120.83333333333333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161.11111111111109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281.9444444444444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346.38888888888891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43.298611111111114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51.958333333333329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25.979166666666664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17.319444444444443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10.391666666666666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3.4638888888888886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138.55555555555554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637.35555555555561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281.9444444444444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637.35555555555561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1566.3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10.573499999999999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0.84587999999999997</v>
      </c>
      <c r="D89" s="187"/>
      <c r="E89" s="187"/>
    </row>
    <row r="90" spans="1:5" ht="32.25" thickBot="1">
      <c r="A90" s="130" t="s">
        <v>190</v>
      </c>
      <c r="B90" s="137" t="s">
        <v>269</v>
      </c>
      <c r="C90" s="132">
        <f>4.35%*C39</f>
        <v>63.074999999999996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58.516220000000004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10.295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4.6812976000000006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147.98689759999999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21.83357959344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4.7464303464000004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0.63285737951999999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4.7464303464000004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1.7720006626560001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33.731298328416003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33.731298328416003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33.731298328416003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'!H79</f>
        <v>433.11302861483779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Equipamentos!I32</f>
        <v>25.002336434307676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481.24953171581211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110.37803182932684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257.31694706825442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4430.1726398925121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28.796122159301326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132.90517919677535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221.5086319946256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750.90491224828361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1450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1566.3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147.98689759999999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33.731298328416003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481.24953171581211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3679.2677276442282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750.90491224828361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4430.1726398925121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0" t="s">
        <v>458</v>
      </c>
      <c r="D171" s="119"/>
      <c r="E171" s="119"/>
    </row>
    <row r="173" spans="1:5">
      <c r="A173" s="112"/>
      <c r="B173" s="112"/>
      <c r="C173" s="113"/>
    </row>
    <row r="174" spans="1:5" ht="15.75">
      <c r="A174" s="151"/>
      <c r="B174" s="151"/>
      <c r="C174" s="152"/>
      <c r="D174" s="152"/>
      <c r="E174" s="119"/>
    </row>
    <row r="175" spans="1:5" ht="15.75">
      <c r="A175" s="119"/>
      <c r="B175" s="119"/>
      <c r="C175" s="152"/>
      <c r="D175" s="152"/>
      <c r="E175" s="119"/>
    </row>
    <row r="176" spans="1:5" ht="15.75">
      <c r="A176" s="153"/>
      <c r="B176" s="151"/>
      <c r="C176" s="152"/>
      <c r="D176" s="152"/>
      <c r="E176" s="119"/>
    </row>
    <row r="177" spans="1:5" ht="15.75">
      <c r="A177" s="136"/>
      <c r="B177" s="136"/>
      <c r="C177" s="136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4"/>
  <sheetViews>
    <sheetView topLeftCell="A145" zoomScaleNormal="100" workbookViewId="0">
      <selection activeCell="A171" sqref="A171"/>
    </sheetView>
  </sheetViews>
  <sheetFormatPr defaultRowHeight="15"/>
  <cols>
    <col min="1" max="1" width="12.5703125" style="110" customWidth="1"/>
    <col min="2" max="2" width="60.85546875" style="110" customWidth="1"/>
    <col min="3" max="3" width="18" style="110" customWidth="1"/>
    <col min="4" max="4" width="19.28515625" style="110" customWidth="1"/>
    <col min="5" max="5" width="15.8554687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tr">
        <f>'Aux Limpeza 800m'!C11:E11</f>
        <v>AM000563/2023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1450</v>
      </c>
      <c r="D24" s="178"/>
      <c r="E24" s="178"/>
    </row>
    <row r="25" spans="1:5" ht="33" customHeight="1">
      <c r="A25" s="123">
        <v>3</v>
      </c>
      <c r="B25" s="127" t="s">
        <v>224</v>
      </c>
      <c r="C25" s="179" t="s">
        <v>312</v>
      </c>
      <c r="D25" s="179"/>
      <c r="E25" s="179"/>
    </row>
    <row r="26" spans="1:5">
      <c r="A26" s="123">
        <v>4</v>
      </c>
      <c r="B26" s="127" t="s">
        <v>226</v>
      </c>
      <c r="C26" s="180" t="str">
        <f>'Aux Limpeza 800m'!C26:E26</f>
        <v>01.01.2024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306</v>
      </c>
      <c r="C35" s="132">
        <f>1412*20%</f>
        <v>282.40000000000003</v>
      </c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1732.4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144.36666666666667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192.48888888888888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336.85555555555555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413.85111111111109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51.731388888888887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62.077666666666659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31.038833333333329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20.692555555555554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12.415533333333332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4.1385111111111108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165.54044444444443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761.48604444444447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336.85555555555555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761.48604444444447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1745.3416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12.103543199999999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0.96828345599999999</v>
      </c>
      <c r="D89" s="187"/>
      <c r="E89" s="187"/>
    </row>
    <row r="90" spans="1:5" ht="32.25" thickBot="1">
      <c r="A90" s="130" t="s">
        <v>190</v>
      </c>
      <c r="B90" s="137" t="s">
        <v>269</v>
      </c>
      <c r="C90" s="132">
        <f>4.35%*C39</f>
        <v>75.359399999999994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67.468187040000004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12.300039999999999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5.3974549632000004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173.59690865920001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25.194235709748479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5.4770077629888005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0.73026770173184008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5.4770077629888005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2.0447495648491523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38.923268502307074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38.923268502307074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38.923268502307074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'!H79</f>
        <v>433.11302861483779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Equipamentos!I32</f>
        <v>25.002336434307676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481.24953171581211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125.14533926631958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291.74298640895313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5022.878636620243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32.64871113803158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150.68635909860728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251.14393183101217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851.36732774292375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1732.4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1745.3416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173.59690865920001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38.923268502307074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481.24953171581211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4171.5113088773196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851.36732774292375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5022.878636620243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0" t="s">
        <v>458</v>
      </c>
      <c r="D171" s="119"/>
      <c r="E171" s="119"/>
    </row>
    <row r="173" spans="1:5">
      <c r="A173" s="112"/>
      <c r="B173" s="112"/>
      <c r="C173" s="113"/>
    </row>
    <row r="174" spans="1:5" ht="15.75">
      <c r="A174" s="151"/>
      <c r="B174" s="151"/>
      <c r="C174" s="152"/>
      <c r="D174" s="152"/>
      <c r="E174" s="119"/>
    </row>
    <row r="175" spans="1:5" ht="15.75">
      <c r="A175" s="119"/>
      <c r="B175" s="119"/>
      <c r="C175" s="152"/>
      <c r="D175" s="152"/>
      <c r="E175" s="119"/>
    </row>
    <row r="176" spans="1:5" ht="15.75">
      <c r="A176" s="153"/>
      <c r="B176" s="151"/>
      <c r="C176" s="152"/>
      <c r="D176" s="152"/>
      <c r="E176" s="119"/>
    </row>
    <row r="177" spans="1:5" ht="15.75">
      <c r="A177" s="136"/>
      <c r="B177" s="136"/>
      <c r="C177" s="136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topLeftCell="A118" zoomScaleNormal="100" workbookViewId="0">
      <selection activeCell="A171" sqref="A171"/>
    </sheetView>
  </sheetViews>
  <sheetFormatPr defaultRowHeight="15"/>
  <cols>
    <col min="1" max="1" width="12.5703125" style="110" customWidth="1"/>
    <col min="2" max="2" width="63.7109375" style="110" customWidth="1"/>
    <col min="3" max="3" width="18" style="110" customWidth="1"/>
    <col min="4" max="4" width="18.85546875" style="110" customWidth="1"/>
    <col min="5" max="5" width="16.5703125" style="110" customWidth="1"/>
    <col min="6" max="16384" width="9.140625" style="110"/>
  </cols>
  <sheetData>
    <row r="1" spans="1:5" ht="23.25">
      <c r="A1" s="181" t="s">
        <v>136</v>
      </c>
      <c r="B1" s="181"/>
      <c r="C1" s="181"/>
      <c r="D1" s="181"/>
      <c r="E1" s="119"/>
    </row>
    <row r="2" spans="1:5" ht="23.25">
      <c r="A2" s="181" t="s">
        <v>218</v>
      </c>
      <c r="B2" s="181"/>
      <c r="C2" s="181"/>
      <c r="D2" s="181"/>
      <c r="E2" s="119"/>
    </row>
    <row r="3" spans="1:5" ht="15.75">
      <c r="A3" s="182" t="s">
        <v>219</v>
      </c>
      <c r="B3" s="182"/>
      <c r="C3" s="182"/>
      <c r="D3" s="182"/>
      <c r="E3" s="119"/>
    </row>
    <row r="4" spans="1:5" ht="15.75">
      <c r="A4" s="120" t="s">
        <v>181</v>
      </c>
      <c r="B4" s="78"/>
      <c r="C4" s="121"/>
      <c r="D4" s="121"/>
      <c r="E4" s="119"/>
    </row>
    <row r="5" spans="1:5" ht="15.75">
      <c r="A5" s="120" t="s">
        <v>182</v>
      </c>
      <c r="B5" s="122"/>
      <c r="C5" s="121"/>
      <c r="D5" s="121"/>
      <c r="E5" s="119"/>
    </row>
    <row r="6" spans="1:5" ht="15.75">
      <c r="A6" s="78" t="s">
        <v>183</v>
      </c>
      <c r="B6" s="78"/>
      <c r="C6" s="121"/>
      <c r="D6" s="121"/>
      <c r="E6" s="119"/>
    </row>
    <row r="7" spans="1:5" ht="15.75">
      <c r="A7" s="85"/>
      <c r="B7" s="85"/>
      <c r="C7" s="121"/>
      <c r="D7" s="121"/>
      <c r="E7" s="119"/>
    </row>
    <row r="8" spans="1:5">
      <c r="A8" s="183" t="s">
        <v>184</v>
      </c>
      <c r="B8" s="183"/>
      <c r="C8" s="183"/>
      <c r="D8" s="183"/>
      <c r="E8" s="183"/>
    </row>
    <row r="9" spans="1:5">
      <c r="A9" s="123" t="s">
        <v>185</v>
      </c>
      <c r="B9" s="124" t="s">
        <v>186</v>
      </c>
      <c r="C9" s="180"/>
      <c r="D9" s="180"/>
      <c r="E9" s="180"/>
    </row>
    <row r="10" spans="1:5">
      <c r="A10" s="123" t="s">
        <v>187</v>
      </c>
      <c r="B10" s="124" t="s">
        <v>188</v>
      </c>
      <c r="C10" s="166" t="s">
        <v>189</v>
      </c>
      <c r="D10" s="166"/>
      <c r="E10" s="166"/>
    </row>
    <row r="11" spans="1:5" ht="30">
      <c r="A11" s="123" t="s">
        <v>190</v>
      </c>
      <c r="B11" s="124" t="s">
        <v>191</v>
      </c>
      <c r="C11" s="166" t="str">
        <f>'Aux Limpeza Ins 20% 1200m'!C11:E11</f>
        <v>AM000563/2023</v>
      </c>
      <c r="D11" s="166"/>
      <c r="E11" s="166"/>
    </row>
    <row r="12" spans="1:5">
      <c r="A12" s="123" t="s">
        <v>192</v>
      </c>
      <c r="B12" s="124" t="s">
        <v>193</v>
      </c>
      <c r="C12" s="166">
        <v>12</v>
      </c>
      <c r="D12" s="166"/>
      <c r="E12" s="166"/>
    </row>
    <row r="13" spans="1:5">
      <c r="A13" s="125"/>
      <c r="B13" s="125"/>
      <c r="C13" s="125"/>
      <c r="D13" s="125"/>
      <c r="E13" s="125"/>
    </row>
    <row r="14" spans="1:5" ht="15.75">
      <c r="A14" s="167" t="s">
        <v>194</v>
      </c>
      <c r="B14" s="167"/>
      <c r="C14" s="167"/>
      <c r="D14" s="75"/>
      <c r="E14" s="125"/>
    </row>
    <row r="15" spans="1:5" ht="14.45" customHeight="1">
      <c r="A15" s="123" t="s">
        <v>195</v>
      </c>
      <c r="B15" s="123" t="s">
        <v>196</v>
      </c>
      <c r="C15" s="171" t="s">
        <v>197</v>
      </c>
      <c r="D15" s="171"/>
      <c r="E15" s="171"/>
    </row>
    <row r="16" spans="1:5" ht="14.45" customHeight="1">
      <c r="A16" s="172" t="s">
        <v>198</v>
      </c>
      <c r="B16" s="123" t="s">
        <v>199</v>
      </c>
      <c r="C16" s="171" t="s">
        <v>200</v>
      </c>
      <c r="D16" s="171"/>
      <c r="E16" s="184" t="s">
        <v>455</v>
      </c>
    </row>
    <row r="17" spans="1:5">
      <c r="A17" s="173"/>
      <c r="B17" s="123" t="s">
        <v>199</v>
      </c>
      <c r="C17" s="166" t="s">
        <v>201</v>
      </c>
      <c r="D17" s="166"/>
      <c r="E17" s="185"/>
    </row>
    <row r="18" spans="1:5" ht="14.45" customHeight="1">
      <c r="A18" s="173"/>
      <c r="B18" s="123" t="s">
        <v>199</v>
      </c>
      <c r="C18" s="166" t="s">
        <v>202</v>
      </c>
      <c r="D18" s="166"/>
      <c r="E18" s="185"/>
    </row>
    <row r="19" spans="1:5" ht="14.45" customHeight="1">
      <c r="A19" s="174"/>
      <c r="B19" s="123" t="s">
        <v>199</v>
      </c>
      <c r="C19" s="168" t="s">
        <v>203</v>
      </c>
      <c r="D19" s="169"/>
      <c r="E19" s="186"/>
    </row>
    <row r="20" spans="1:5">
      <c r="A20" s="125"/>
      <c r="B20" s="125"/>
      <c r="C20" s="125"/>
      <c r="D20" s="125"/>
      <c r="E20" s="125"/>
    </row>
    <row r="21" spans="1:5" ht="15.75">
      <c r="A21" s="170" t="s">
        <v>220</v>
      </c>
      <c r="B21" s="170"/>
      <c r="C21" s="170"/>
      <c r="D21" s="170"/>
      <c r="E21" s="170"/>
    </row>
    <row r="22" spans="1:5">
      <c r="A22" s="175" t="s">
        <v>221</v>
      </c>
      <c r="B22" s="176"/>
      <c r="C22" s="176"/>
      <c r="D22" s="176"/>
      <c r="E22" s="177"/>
    </row>
    <row r="23" spans="1:5">
      <c r="A23" s="123">
        <v>1</v>
      </c>
      <c r="B23" s="126" t="s">
        <v>222</v>
      </c>
      <c r="C23" s="171" t="s">
        <v>198</v>
      </c>
      <c r="D23" s="171"/>
      <c r="E23" s="171"/>
    </row>
    <row r="24" spans="1:5">
      <c r="A24" s="123">
        <v>2</v>
      </c>
      <c r="B24" s="127" t="s">
        <v>223</v>
      </c>
      <c r="C24" s="178">
        <v>1450</v>
      </c>
      <c r="D24" s="178"/>
      <c r="E24" s="178"/>
    </row>
    <row r="25" spans="1:5" ht="33" customHeight="1">
      <c r="A25" s="123">
        <v>3</v>
      </c>
      <c r="B25" s="127" t="s">
        <v>224</v>
      </c>
      <c r="C25" s="179" t="s">
        <v>313</v>
      </c>
      <c r="D25" s="179"/>
      <c r="E25" s="179"/>
    </row>
    <row r="26" spans="1:5">
      <c r="A26" s="123">
        <v>4</v>
      </c>
      <c r="B26" s="127" t="s">
        <v>226</v>
      </c>
      <c r="C26" s="180" t="str">
        <f>'Aux Limpeza Ins 20% 1200m'!C26:E26</f>
        <v>01.01.2024</v>
      </c>
      <c r="D26" s="180"/>
      <c r="E26" s="180"/>
    </row>
    <row r="27" spans="1:5" ht="15.75">
      <c r="A27" s="121"/>
      <c r="B27" s="121"/>
      <c r="C27" s="121"/>
      <c r="D27" s="121"/>
      <c r="E27" s="119"/>
    </row>
    <row r="28" spans="1:5" ht="15.75">
      <c r="A28" s="119"/>
      <c r="B28" s="119"/>
      <c r="C28" s="119"/>
      <c r="D28" s="119"/>
      <c r="E28" s="119"/>
    </row>
    <row r="29" spans="1:5" ht="15.75">
      <c r="A29" s="119"/>
      <c r="B29" s="119"/>
      <c r="C29" s="119"/>
      <c r="D29" s="119"/>
      <c r="E29" s="119"/>
    </row>
    <row r="30" spans="1:5" ht="15.75">
      <c r="A30" s="160" t="s">
        <v>227</v>
      </c>
      <c r="B30" s="160"/>
      <c r="C30" s="160"/>
      <c r="D30" s="119"/>
      <c r="E30" s="119"/>
    </row>
    <row r="31" spans="1:5" ht="16.5" thickBot="1">
      <c r="A31" s="119"/>
      <c r="B31" s="119"/>
      <c r="C31" s="119"/>
      <c r="D31" s="119"/>
      <c r="E31" s="119"/>
    </row>
    <row r="32" spans="1:5" ht="16.5" thickBot="1">
      <c r="A32" s="128">
        <v>1</v>
      </c>
      <c r="B32" s="129" t="s">
        <v>228</v>
      </c>
      <c r="C32" s="129" t="s">
        <v>229</v>
      </c>
      <c r="D32" s="119"/>
      <c r="E32" s="119"/>
    </row>
    <row r="33" spans="1:5" ht="16.5" thickBot="1">
      <c r="A33" s="130" t="s">
        <v>185</v>
      </c>
      <c r="B33" s="131" t="s">
        <v>230</v>
      </c>
      <c r="C33" s="132">
        <f>C24</f>
        <v>1450</v>
      </c>
      <c r="D33" s="119"/>
      <c r="E33" s="119"/>
    </row>
    <row r="34" spans="1:5" ht="16.5" thickBot="1">
      <c r="A34" s="130" t="s">
        <v>187</v>
      </c>
      <c r="B34" s="131" t="s">
        <v>231</v>
      </c>
      <c r="C34" s="132"/>
      <c r="D34" s="119"/>
      <c r="E34" s="119"/>
    </row>
    <row r="35" spans="1:5" ht="16.5" thickBot="1">
      <c r="A35" s="130" t="s">
        <v>190</v>
      </c>
      <c r="B35" s="131" t="s">
        <v>307</v>
      </c>
      <c r="C35" s="132">
        <f>1412*40%</f>
        <v>564.80000000000007</v>
      </c>
      <c r="D35" s="119"/>
      <c r="E35" s="119"/>
    </row>
    <row r="36" spans="1:5" ht="16.5" thickBot="1">
      <c r="A36" s="130" t="s">
        <v>192</v>
      </c>
      <c r="B36" s="131" t="s">
        <v>233</v>
      </c>
      <c r="C36" s="132"/>
      <c r="D36" s="119"/>
      <c r="E36" s="119"/>
    </row>
    <row r="37" spans="1:5" ht="16.5" thickBot="1">
      <c r="A37" s="130" t="s">
        <v>234</v>
      </c>
      <c r="B37" s="131" t="s">
        <v>235</v>
      </c>
      <c r="C37" s="132"/>
      <c r="D37" s="119"/>
      <c r="E37" s="119"/>
    </row>
    <row r="38" spans="1:5" ht="16.5" thickBot="1">
      <c r="A38" s="130" t="s">
        <v>236</v>
      </c>
      <c r="B38" s="131" t="s">
        <v>237</v>
      </c>
      <c r="C38" s="132"/>
      <c r="D38" s="119"/>
      <c r="E38" s="119"/>
    </row>
    <row r="39" spans="1:5" ht="16.5" thickBot="1">
      <c r="A39" s="158" t="s">
        <v>72</v>
      </c>
      <c r="B39" s="159"/>
      <c r="C39" s="132">
        <f>SUM(C33:C38)</f>
        <v>2014.8000000000002</v>
      </c>
      <c r="D39" s="119"/>
      <c r="E39" s="119"/>
    </row>
    <row r="40" spans="1:5" ht="15.75">
      <c r="A40" s="119"/>
      <c r="B40" s="119"/>
      <c r="C40" s="119"/>
      <c r="D40" s="119"/>
      <c r="E40" s="119"/>
    </row>
    <row r="41" spans="1:5" ht="15.75">
      <c r="A41" s="119"/>
      <c r="B41" s="119"/>
      <c r="C41" s="119"/>
      <c r="D41" s="119"/>
      <c r="E41" s="119"/>
    </row>
    <row r="42" spans="1:5" ht="15.75">
      <c r="A42" s="160" t="s">
        <v>238</v>
      </c>
      <c r="B42" s="160"/>
      <c r="C42" s="160"/>
      <c r="D42" s="119"/>
      <c r="E42" s="119"/>
    </row>
    <row r="43" spans="1:5" ht="15.75">
      <c r="A43" s="133"/>
      <c r="B43" s="119"/>
      <c r="C43" s="119"/>
      <c r="D43" s="119"/>
      <c r="E43" s="119"/>
    </row>
    <row r="44" spans="1:5" ht="15.75">
      <c r="A44" s="157" t="s">
        <v>239</v>
      </c>
      <c r="B44" s="157"/>
      <c r="C44" s="157"/>
      <c r="D44" s="119"/>
      <c r="E44" s="119"/>
    </row>
    <row r="45" spans="1:5" ht="16.5" thickBot="1">
      <c r="A45" s="119"/>
      <c r="B45" s="119"/>
      <c r="C45" s="119"/>
      <c r="D45" s="119"/>
      <c r="E45" s="119"/>
    </row>
    <row r="46" spans="1:5" ht="16.5" thickBot="1">
      <c r="A46" s="128" t="s">
        <v>240</v>
      </c>
      <c r="B46" s="129" t="s">
        <v>241</v>
      </c>
      <c r="C46" s="129" t="s">
        <v>229</v>
      </c>
      <c r="D46" s="119"/>
      <c r="E46" s="119"/>
    </row>
    <row r="47" spans="1:5" ht="16.5" thickBot="1">
      <c r="A47" s="130" t="s">
        <v>185</v>
      </c>
      <c r="B47" s="131" t="s">
        <v>242</v>
      </c>
      <c r="C47" s="132">
        <f>C39*(1/12)</f>
        <v>167.9</v>
      </c>
      <c r="D47" s="119"/>
      <c r="E47" s="119"/>
    </row>
    <row r="48" spans="1:5" ht="16.5" thickBot="1">
      <c r="A48" s="130" t="s">
        <v>187</v>
      </c>
      <c r="B48" s="131" t="s">
        <v>243</v>
      </c>
      <c r="C48" s="132">
        <f>C39*(1/12)+C39*(1/3)*(1/12)</f>
        <v>223.86666666666667</v>
      </c>
      <c r="D48" s="119"/>
      <c r="E48" s="119"/>
    </row>
    <row r="49" spans="1:5" ht="16.5" thickBot="1">
      <c r="A49" s="158" t="s">
        <v>72</v>
      </c>
      <c r="B49" s="159"/>
      <c r="C49" s="132">
        <f>SUM(C47:C48)</f>
        <v>391.76666666666665</v>
      </c>
      <c r="D49" s="119"/>
      <c r="E49" s="119"/>
    </row>
    <row r="50" spans="1:5" ht="15.75">
      <c r="A50" s="119"/>
      <c r="B50" s="119"/>
      <c r="C50" s="119"/>
      <c r="D50" s="119"/>
      <c r="E50" s="119"/>
    </row>
    <row r="51" spans="1:5" ht="15.75">
      <c r="A51" s="119"/>
      <c r="B51" s="119"/>
      <c r="C51" s="119"/>
      <c r="D51" s="119"/>
      <c r="E51" s="119"/>
    </row>
    <row r="52" spans="1:5" ht="15.75">
      <c r="A52" s="165" t="s">
        <v>244</v>
      </c>
      <c r="B52" s="165"/>
      <c r="C52" s="165"/>
      <c r="D52" s="165"/>
      <c r="E52" s="119"/>
    </row>
    <row r="53" spans="1:5" ht="16.5" thickBot="1">
      <c r="A53" s="119"/>
      <c r="B53" s="119"/>
      <c r="C53" s="119"/>
      <c r="D53" s="119"/>
      <c r="E53" s="119"/>
    </row>
    <row r="54" spans="1:5" ht="16.5" thickBot="1">
      <c r="A54" s="128" t="s">
        <v>245</v>
      </c>
      <c r="B54" s="129" t="s">
        <v>246</v>
      </c>
      <c r="C54" s="129" t="s">
        <v>247</v>
      </c>
      <c r="D54" s="129" t="s">
        <v>229</v>
      </c>
      <c r="E54" s="119"/>
    </row>
    <row r="55" spans="1:5" ht="16.5" thickBot="1">
      <c r="A55" s="130" t="s">
        <v>185</v>
      </c>
      <c r="B55" s="131" t="s">
        <v>248</v>
      </c>
      <c r="C55" s="134">
        <v>0.2</v>
      </c>
      <c r="D55" s="132">
        <f>($C$39+$C$49)*C55</f>
        <v>481.31333333333333</v>
      </c>
      <c r="E55" s="119"/>
    </row>
    <row r="56" spans="1:5" ht="16.5" thickBot="1">
      <c r="A56" s="130" t="s">
        <v>187</v>
      </c>
      <c r="B56" s="131" t="s">
        <v>249</v>
      </c>
      <c r="C56" s="134">
        <v>2.5000000000000001E-2</v>
      </c>
      <c r="D56" s="132">
        <f t="shared" ref="D56:D63" si="0">($C$39+$C$49)*C56</f>
        <v>60.164166666666667</v>
      </c>
      <c r="E56" s="119"/>
    </row>
    <row r="57" spans="1:5" ht="16.5" thickBot="1">
      <c r="A57" s="130" t="s">
        <v>190</v>
      </c>
      <c r="B57" s="131" t="s">
        <v>250</v>
      </c>
      <c r="C57" s="134">
        <v>0.03</v>
      </c>
      <c r="D57" s="132">
        <f t="shared" si="0"/>
        <v>72.196999999999989</v>
      </c>
      <c r="E57" s="119"/>
    </row>
    <row r="58" spans="1:5" ht="16.5" thickBot="1">
      <c r="A58" s="130" t="s">
        <v>192</v>
      </c>
      <c r="B58" s="131" t="s">
        <v>251</v>
      </c>
      <c r="C58" s="134">
        <v>1.4999999999999999E-2</v>
      </c>
      <c r="D58" s="132">
        <f t="shared" si="0"/>
        <v>36.098499999999994</v>
      </c>
      <c r="E58" s="119"/>
    </row>
    <row r="59" spans="1:5" ht="16.5" thickBot="1">
      <c r="A59" s="130" t="s">
        <v>234</v>
      </c>
      <c r="B59" s="131" t="s">
        <v>252</v>
      </c>
      <c r="C59" s="134">
        <v>0.01</v>
      </c>
      <c r="D59" s="132">
        <f t="shared" si="0"/>
        <v>24.065666666666665</v>
      </c>
      <c r="E59" s="119"/>
    </row>
    <row r="60" spans="1:5" ht="16.5" thickBot="1">
      <c r="A60" s="130" t="s">
        <v>236</v>
      </c>
      <c r="B60" s="131" t="s">
        <v>73</v>
      </c>
      <c r="C60" s="134">
        <v>6.0000000000000001E-3</v>
      </c>
      <c r="D60" s="132">
        <f t="shared" si="0"/>
        <v>14.439399999999999</v>
      </c>
      <c r="E60" s="119"/>
    </row>
    <row r="61" spans="1:5" ht="16.5" thickBot="1">
      <c r="A61" s="130" t="s">
        <v>253</v>
      </c>
      <c r="B61" s="131" t="s">
        <v>74</v>
      </c>
      <c r="C61" s="134">
        <v>2E-3</v>
      </c>
      <c r="D61" s="132">
        <f t="shared" si="0"/>
        <v>4.813133333333333</v>
      </c>
      <c r="E61" s="119"/>
    </row>
    <row r="62" spans="1:5" ht="16.5" thickBot="1">
      <c r="A62" s="130" t="s">
        <v>254</v>
      </c>
      <c r="B62" s="131" t="s">
        <v>75</v>
      </c>
      <c r="C62" s="134">
        <v>0.08</v>
      </c>
      <c r="D62" s="132">
        <f t="shared" si="0"/>
        <v>192.52533333333332</v>
      </c>
      <c r="E62" s="119"/>
    </row>
    <row r="63" spans="1:5" ht="16.5" thickBot="1">
      <c r="A63" s="158" t="s">
        <v>255</v>
      </c>
      <c r="B63" s="159"/>
      <c r="C63" s="134">
        <f>SUM(C55:C62)</f>
        <v>0.36800000000000005</v>
      </c>
      <c r="D63" s="132">
        <f t="shared" si="0"/>
        <v>885.61653333333345</v>
      </c>
      <c r="E63" s="119"/>
    </row>
    <row r="64" spans="1:5" ht="15.75">
      <c r="A64" s="119"/>
      <c r="B64" s="119"/>
      <c r="C64" s="119"/>
      <c r="D64" s="135"/>
      <c r="E64" s="119"/>
    </row>
    <row r="65" spans="1:5" ht="15.75">
      <c r="A65" s="119"/>
      <c r="B65" s="119"/>
      <c r="C65" s="119"/>
      <c r="D65" s="119"/>
      <c r="E65" s="119"/>
    </row>
    <row r="66" spans="1:5" ht="15.75">
      <c r="A66" s="157" t="s">
        <v>256</v>
      </c>
      <c r="B66" s="157"/>
      <c r="C66" s="157"/>
      <c r="D66" s="119"/>
      <c r="E66" s="119"/>
    </row>
    <row r="67" spans="1:5" ht="16.5" thickBot="1">
      <c r="A67" s="119"/>
      <c r="B67" s="119"/>
      <c r="C67" s="119"/>
      <c r="D67" s="119"/>
      <c r="E67" s="119"/>
    </row>
    <row r="68" spans="1:5" ht="16.5" thickBot="1">
      <c r="A68" s="128" t="s">
        <v>257</v>
      </c>
      <c r="B68" s="129" t="s">
        <v>258</v>
      </c>
      <c r="C68" s="129" t="s">
        <v>229</v>
      </c>
      <c r="D68" s="119"/>
      <c r="E68" s="119"/>
    </row>
    <row r="69" spans="1:5" ht="16.5" thickBot="1">
      <c r="A69" s="130" t="s">
        <v>185</v>
      </c>
      <c r="B69" s="131" t="s">
        <v>259</v>
      </c>
      <c r="C69" s="132">
        <f>(4.5*2*22)-(C33*100%*6%)</f>
        <v>111</v>
      </c>
      <c r="D69" s="119"/>
      <c r="E69" s="119"/>
    </row>
    <row r="70" spans="1:5" ht="16.5" thickBot="1">
      <c r="A70" s="130" t="s">
        <v>187</v>
      </c>
      <c r="B70" s="131" t="s">
        <v>260</v>
      </c>
      <c r="C70" s="132">
        <f>(20*22)-((20*22)*10%)</f>
        <v>396</v>
      </c>
      <c r="D70" s="119"/>
      <c r="E70" s="119"/>
    </row>
    <row r="71" spans="1:5" ht="16.5" thickBot="1">
      <c r="A71" s="130" t="s">
        <v>190</v>
      </c>
      <c r="B71" s="131" t="s">
        <v>261</v>
      </c>
      <c r="C71" s="132">
        <v>130</v>
      </c>
      <c r="D71" s="119"/>
      <c r="E71" s="119"/>
    </row>
    <row r="72" spans="1:5" ht="16.5" thickBot="1">
      <c r="A72" s="130" t="s">
        <v>192</v>
      </c>
      <c r="B72" s="131" t="s">
        <v>262</v>
      </c>
      <c r="C72" s="132">
        <v>10</v>
      </c>
      <c r="D72" s="119"/>
      <c r="E72" s="119"/>
    </row>
    <row r="73" spans="1:5" ht="16.5" thickBot="1">
      <c r="A73" s="158" t="s">
        <v>72</v>
      </c>
      <c r="B73" s="159"/>
      <c r="C73" s="132">
        <f>SUM(C69:C72)</f>
        <v>647</v>
      </c>
      <c r="D73" s="119"/>
      <c r="E73" s="119"/>
    </row>
    <row r="74" spans="1:5" ht="15.75">
      <c r="A74" s="119"/>
      <c r="B74" s="119"/>
      <c r="C74" s="119"/>
      <c r="D74" s="119"/>
      <c r="E74" s="119"/>
    </row>
    <row r="75" spans="1:5" ht="15.75">
      <c r="A75" s="119"/>
      <c r="B75" s="119"/>
      <c r="C75" s="119"/>
      <c r="D75" s="119"/>
      <c r="E75" s="119"/>
    </row>
    <row r="76" spans="1:5" ht="15.75">
      <c r="A76" s="157" t="s">
        <v>263</v>
      </c>
      <c r="B76" s="157"/>
      <c r="C76" s="157"/>
      <c r="D76" s="119"/>
      <c r="E76" s="119"/>
    </row>
    <row r="77" spans="1:5" ht="16.5" thickBot="1">
      <c r="A77" s="119"/>
      <c r="B77" s="119"/>
      <c r="C77" s="119"/>
      <c r="D77" s="119"/>
      <c r="E77" s="119"/>
    </row>
    <row r="78" spans="1:5" ht="16.5" thickBot="1">
      <c r="A78" s="128">
        <v>2</v>
      </c>
      <c r="B78" s="129" t="s">
        <v>264</v>
      </c>
      <c r="C78" s="129" t="s">
        <v>229</v>
      </c>
      <c r="D78" s="119"/>
      <c r="E78" s="119"/>
    </row>
    <row r="79" spans="1:5" ht="16.5" thickBot="1">
      <c r="A79" s="130" t="s">
        <v>240</v>
      </c>
      <c r="B79" s="131" t="s">
        <v>241</v>
      </c>
      <c r="C79" s="132">
        <f>C49</f>
        <v>391.76666666666665</v>
      </c>
      <c r="D79" s="119"/>
      <c r="E79" s="119"/>
    </row>
    <row r="80" spans="1:5" ht="16.5" thickBot="1">
      <c r="A80" s="130" t="s">
        <v>245</v>
      </c>
      <c r="B80" s="131" t="s">
        <v>246</v>
      </c>
      <c r="C80" s="132">
        <f>D63</f>
        <v>885.61653333333345</v>
      </c>
      <c r="D80" s="119"/>
      <c r="E80" s="119"/>
    </row>
    <row r="81" spans="1:5" ht="16.5" thickBot="1">
      <c r="A81" s="130" t="s">
        <v>257</v>
      </c>
      <c r="B81" s="131" t="s">
        <v>258</v>
      </c>
      <c r="C81" s="132">
        <f>C73</f>
        <v>647</v>
      </c>
      <c r="D81" s="119"/>
      <c r="E81" s="119"/>
    </row>
    <row r="82" spans="1:5" ht="16.5" thickBot="1">
      <c r="A82" s="158" t="s">
        <v>72</v>
      </c>
      <c r="B82" s="159"/>
      <c r="C82" s="132">
        <f>SUM(C79:C81)</f>
        <v>1924.3832000000002</v>
      </c>
      <c r="D82" s="119"/>
      <c r="E82" s="119"/>
    </row>
    <row r="83" spans="1:5" ht="15.75">
      <c r="A83" s="136"/>
      <c r="B83" s="119"/>
      <c r="C83" s="119"/>
      <c r="D83" s="187" t="s">
        <v>457</v>
      </c>
      <c r="E83" s="187"/>
    </row>
    <row r="84" spans="1:5" ht="15.75">
      <c r="A84" s="119"/>
      <c r="B84" s="119"/>
      <c r="C84" s="119"/>
      <c r="D84" s="187"/>
      <c r="E84" s="187"/>
    </row>
    <row r="85" spans="1:5" ht="15.75">
      <c r="A85" s="160" t="s">
        <v>265</v>
      </c>
      <c r="B85" s="160"/>
      <c r="C85" s="160"/>
      <c r="D85" s="187"/>
      <c r="E85" s="187"/>
    </row>
    <row r="86" spans="1:5" ht="16.5" thickBot="1">
      <c r="A86" s="119"/>
      <c r="B86" s="119"/>
      <c r="C86" s="135"/>
      <c r="D86" s="187"/>
      <c r="E86" s="187"/>
    </row>
    <row r="87" spans="1:5" ht="16.5" thickBot="1">
      <c r="A87" s="128">
        <v>3</v>
      </c>
      <c r="B87" s="129" t="s">
        <v>266</v>
      </c>
      <c r="C87" s="129" t="s">
        <v>229</v>
      </c>
      <c r="D87" s="187"/>
      <c r="E87" s="187"/>
    </row>
    <row r="88" spans="1:5" ht="16.5" thickBot="1">
      <c r="A88" s="130" t="s">
        <v>185</v>
      </c>
      <c r="B88" s="137" t="s">
        <v>267</v>
      </c>
      <c r="C88" s="132">
        <f>0.42%*(C39+C49+D62+C73)</f>
        <v>13.6335864</v>
      </c>
      <c r="D88" s="187"/>
      <c r="E88" s="187"/>
    </row>
    <row r="89" spans="1:5" ht="16.5" thickBot="1">
      <c r="A89" s="130" t="s">
        <v>187</v>
      </c>
      <c r="B89" s="137" t="s">
        <v>268</v>
      </c>
      <c r="C89" s="132">
        <f>8%*C88</f>
        <v>1.090686912</v>
      </c>
      <c r="D89" s="187"/>
      <c r="E89" s="187"/>
    </row>
    <row r="90" spans="1:5" ht="16.5" thickBot="1">
      <c r="A90" s="130" t="s">
        <v>190</v>
      </c>
      <c r="B90" s="137" t="s">
        <v>269</v>
      </c>
      <c r="C90" s="132">
        <f>4.35%*C39</f>
        <v>87.643799999999999</v>
      </c>
      <c r="D90" s="187"/>
      <c r="E90" s="187"/>
    </row>
    <row r="91" spans="1:5" ht="16.5" thickBot="1">
      <c r="A91" s="130" t="s">
        <v>192</v>
      </c>
      <c r="B91" s="137" t="s">
        <v>270</v>
      </c>
      <c r="C91" s="132">
        <f>1.94%*(C39+C82)</f>
        <v>76.420154080000003</v>
      </c>
      <c r="D91" s="187"/>
      <c r="E91" s="187"/>
    </row>
    <row r="92" spans="1:5" ht="32.25" thickBot="1">
      <c r="A92" s="130" t="s">
        <v>234</v>
      </c>
      <c r="B92" s="137" t="s">
        <v>271</v>
      </c>
      <c r="C92" s="132">
        <f>0.71%*C39</f>
        <v>14.30508</v>
      </c>
      <c r="D92" s="187"/>
      <c r="E92" s="187"/>
    </row>
    <row r="93" spans="1:5" ht="32.25" thickBot="1">
      <c r="A93" s="130" t="s">
        <v>236</v>
      </c>
      <c r="B93" s="137" t="s">
        <v>272</v>
      </c>
      <c r="C93" s="132">
        <f>8%*C91</f>
        <v>6.1136123264000002</v>
      </c>
      <c r="D93" s="187"/>
      <c r="E93" s="187"/>
    </row>
    <row r="94" spans="1:5" ht="16.5" thickBot="1">
      <c r="A94" s="158" t="s">
        <v>72</v>
      </c>
      <c r="B94" s="159"/>
      <c r="C94" s="132">
        <f>SUM(C88:C93)</f>
        <v>199.2069197184</v>
      </c>
      <c r="D94" s="187"/>
      <c r="E94" s="187"/>
    </row>
    <row r="95" spans="1:5" ht="15.75">
      <c r="A95" s="119"/>
      <c r="B95" s="119"/>
      <c r="C95" s="119"/>
      <c r="D95" s="187"/>
      <c r="E95" s="187"/>
    </row>
    <row r="96" spans="1:5" ht="15.75">
      <c r="A96" s="119"/>
      <c r="B96" s="119"/>
      <c r="C96" s="119"/>
      <c r="D96" s="187"/>
      <c r="E96" s="187"/>
    </row>
    <row r="97" spans="1:5" ht="15.75">
      <c r="A97" s="160" t="s">
        <v>273</v>
      </c>
      <c r="B97" s="160"/>
      <c r="C97" s="160"/>
      <c r="D97" s="119"/>
      <c r="E97" s="119"/>
    </row>
    <row r="98" spans="1:5" ht="15.75">
      <c r="A98" s="119"/>
      <c r="B98" s="119"/>
      <c r="C98" s="119"/>
      <c r="D98" s="119"/>
      <c r="E98" s="119"/>
    </row>
    <row r="99" spans="1:5" ht="15.75">
      <c r="A99" s="119"/>
      <c r="B99" s="119"/>
      <c r="C99" s="119"/>
      <c r="D99" s="119"/>
      <c r="E99" s="119"/>
    </row>
    <row r="100" spans="1:5" ht="15.75">
      <c r="A100" s="157" t="s">
        <v>274</v>
      </c>
      <c r="B100" s="157"/>
      <c r="C100" s="157"/>
      <c r="D100" s="119"/>
      <c r="E100" s="119"/>
    </row>
    <row r="101" spans="1:5" ht="16.5" thickBot="1">
      <c r="A101" s="133"/>
      <c r="B101" s="119"/>
      <c r="C101" s="119"/>
      <c r="D101" s="119"/>
      <c r="E101" s="119"/>
    </row>
    <row r="102" spans="1:5" ht="16.5" thickBot="1">
      <c r="A102" s="128" t="s">
        <v>275</v>
      </c>
      <c r="B102" s="129" t="s">
        <v>276</v>
      </c>
      <c r="C102" s="129" t="s">
        <v>229</v>
      </c>
      <c r="D102" s="119"/>
      <c r="E102" s="119"/>
    </row>
    <row r="103" spans="1:5" ht="16.5" thickBot="1">
      <c r="A103" s="130" t="s">
        <v>185</v>
      </c>
      <c r="B103" s="131" t="s">
        <v>277</v>
      </c>
      <c r="C103" s="132">
        <f>0.69%*(C39+C82+C94)</f>
        <v>28.554891826056963</v>
      </c>
      <c r="D103" s="119"/>
      <c r="E103" s="119"/>
    </row>
    <row r="104" spans="1:5" ht="16.5" thickBot="1">
      <c r="A104" s="130" t="s">
        <v>187</v>
      </c>
      <c r="B104" s="131" t="s">
        <v>278</v>
      </c>
      <c r="C104" s="132">
        <f>0.15%*(C39+C82+C94)</f>
        <v>6.2075851795776007</v>
      </c>
      <c r="D104" s="119"/>
      <c r="E104" s="119"/>
    </row>
    <row r="105" spans="1:5" ht="16.5" thickBot="1">
      <c r="A105" s="130" t="s">
        <v>190</v>
      </c>
      <c r="B105" s="131" t="s">
        <v>279</v>
      </c>
      <c r="C105" s="132">
        <f>0.02%*(C39+C82+C94)</f>
        <v>0.82767802394368017</v>
      </c>
      <c r="D105" s="119"/>
      <c r="E105" s="119"/>
    </row>
    <row r="106" spans="1:5" ht="16.5" thickBot="1">
      <c r="A106" s="130" t="s">
        <v>192</v>
      </c>
      <c r="B106" s="131" t="s">
        <v>280</v>
      </c>
      <c r="C106" s="132">
        <f>0.15%*(C39+C82+C94)</f>
        <v>6.2075851795776007</v>
      </c>
      <c r="D106" s="119"/>
      <c r="E106" s="119"/>
    </row>
    <row r="107" spans="1:5" ht="16.5" thickBot="1">
      <c r="A107" s="130" t="s">
        <v>234</v>
      </c>
      <c r="B107" s="131" t="s">
        <v>281</v>
      </c>
      <c r="C107" s="132">
        <f>0.056%*(C39+C82+C94)</f>
        <v>2.3174984670423044</v>
      </c>
      <c r="D107" s="119"/>
      <c r="E107" s="119"/>
    </row>
    <row r="108" spans="1:5" ht="16.5" thickBot="1">
      <c r="A108" s="130" t="s">
        <v>236</v>
      </c>
      <c r="B108" s="131" t="s">
        <v>282</v>
      </c>
      <c r="C108" s="132"/>
      <c r="D108" s="119"/>
      <c r="E108" s="119"/>
    </row>
    <row r="109" spans="1:5" ht="16.5" thickBot="1">
      <c r="A109" s="158" t="s">
        <v>255</v>
      </c>
      <c r="B109" s="159"/>
      <c r="C109" s="132">
        <f>SUM(C103:C108)</f>
        <v>44.115238676198153</v>
      </c>
      <c r="D109" s="119"/>
      <c r="E109" s="119"/>
    </row>
    <row r="110" spans="1:5" ht="15.75">
      <c r="A110" s="119"/>
      <c r="B110" s="119"/>
      <c r="C110" s="119"/>
      <c r="D110" s="119"/>
      <c r="E110" s="119"/>
    </row>
    <row r="111" spans="1:5" ht="15.75">
      <c r="A111" s="119"/>
      <c r="B111" s="119"/>
      <c r="C111" s="119"/>
      <c r="D111" s="119"/>
      <c r="E111" s="119"/>
    </row>
    <row r="112" spans="1:5" ht="15.75">
      <c r="A112" s="157" t="s">
        <v>283</v>
      </c>
      <c r="B112" s="157"/>
      <c r="C112" s="157"/>
      <c r="D112" s="119"/>
      <c r="E112" s="119"/>
    </row>
    <row r="113" spans="1:5" ht="16.5" thickBot="1">
      <c r="A113" s="133"/>
      <c r="B113" s="119"/>
      <c r="C113" s="119"/>
      <c r="D113" s="119"/>
      <c r="E113" s="119"/>
    </row>
    <row r="114" spans="1:5" ht="16.5" thickBot="1">
      <c r="A114" s="128" t="s">
        <v>284</v>
      </c>
      <c r="B114" s="129" t="s">
        <v>285</v>
      </c>
      <c r="C114" s="129" t="s">
        <v>229</v>
      </c>
      <c r="D114" s="119"/>
      <c r="E114" s="119"/>
    </row>
    <row r="115" spans="1:5" ht="16.5" thickBot="1">
      <c r="A115" s="130" t="s">
        <v>185</v>
      </c>
      <c r="B115" s="131" t="s">
        <v>286</v>
      </c>
      <c r="C115" s="138"/>
      <c r="D115" s="119"/>
      <c r="E115" s="119"/>
    </row>
    <row r="116" spans="1:5" ht="16.5" thickBot="1">
      <c r="A116" s="158" t="s">
        <v>72</v>
      </c>
      <c r="B116" s="159"/>
      <c r="C116" s="132">
        <v>0</v>
      </c>
      <c r="D116" s="119"/>
      <c r="E116" s="119"/>
    </row>
    <row r="117" spans="1:5" ht="15.75">
      <c r="A117" s="119"/>
      <c r="B117" s="119"/>
      <c r="C117" s="119"/>
      <c r="D117" s="119"/>
      <c r="E117" s="119"/>
    </row>
    <row r="118" spans="1:5" ht="15.75">
      <c r="A118" s="119"/>
      <c r="B118" s="119"/>
      <c r="C118" s="119"/>
      <c r="D118" s="119"/>
      <c r="E118" s="119"/>
    </row>
    <row r="119" spans="1:5" ht="15.75">
      <c r="A119" s="157" t="s">
        <v>287</v>
      </c>
      <c r="B119" s="157"/>
      <c r="C119" s="157"/>
      <c r="D119" s="119"/>
      <c r="E119" s="119"/>
    </row>
    <row r="120" spans="1:5" ht="16.5" thickBot="1">
      <c r="A120" s="133"/>
      <c r="B120" s="119"/>
      <c r="C120" s="119"/>
      <c r="D120" s="119"/>
      <c r="E120" s="119"/>
    </row>
    <row r="121" spans="1:5" ht="16.5" thickBot="1">
      <c r="A121" s="128">
        <v>4</v>
      </c>
      <c r="B121" s="129" t="s">
        <v>288</v>
      </c>
      <c r="C121" s="129" t="s">
        <v>229</v>
      </c>
      <c r="D121" s="119"/>
      <c r="E121" s="119"/>
    </row>
    <row r="122" spans="1:5" ht="16.5" thickBot="1">
      <c r="A122" s="130" t="s">
        <v>275</v>
      </c>
      <c r="B122" s="131" t="s">
        <v>276</v>
      </c>
      <c r="C122" s="132">
        <f>C109</f>
        <v>44.115238676198153</v>
      </c>
      <c r="D122" s="119"/>
      <c r="E122" s="119"/>
    </row>
    <row r="123" spans="1:5" ht="16.5" thickBot="1">
      <c r="A123" s="130" t="s">
        <v>284</v>
      </c>
      <c r="B123" s="131" t="s">
        <v>285</v>
      </c>
      <c r="C123" s="132">
        <f>C116</f>
        <v>0</v>
      </c>
      <c r="D123" s="119"/>
      <c r="E123" s="119"/>
    </row>
    <row r="124" spans="1:5" ht="16.5" thickBot="1">
      <c r="A124" s="158" t="s">
        <v>72</v>
      </c>
      <c r="B124" s="159"/>
      <c r="C124" s="132">
        <f>SUM(C122:C123)</f>
        <v>44.115238676198153</v>
      </c>
      <c r="D124" s="119"/>
      <c r="E124" s="119"/>
    </row>
    <row r="125" spans="1:5" ht="15.75">
      <c r="A125" s="119"/>
      <c r="B125" s="119"/>
      <c r="C125" s="119"/>
      <c r="D125" s="119"/>
      <c r="E125" s="119"/>
    </row>
    <row r="126" spans="1:5" ht="15.75">
      <c r="A126" s="119"/>
      <c r="B126" s="119"/>
      <c r="C126" s="119"/>
      <c r="D126" s="119"/>
      <c r="E126" s="119"/>
    </row>
    <row r="127" spans="1:5" ht="15.75">
      <c r="A127" s="160" t="s">
        <v>289</v>
      </c>
      <c r="B127" s="160"/>
      <c r="C127" s="160"/>
      <c r="D127" s="119"/>
      <c r="E127" s="119"/>
    </row>
    <row r="128" spans="1:5" ht="15.75">
      <c r="A128" s="139"/>
      <c r="B128" s="139"/>
      <c r="C128" s="139"/>
      <c r="D128" s="119"/>
      <c r="E128" s="119"/>
    </row>
    <row r="129" spans="1:5" ht="16.5" thickBot="1">
      <c r="A129" s="161" t="s">
        <v>290</v>
      </c>
      <c r="B129" s="161"/>
      <c r="C129" s="161"/>
      <c r="D129" s="161"/>
      <c r="E129" s="162"/>
    </row>
    <row r="130" spans="1:5" ht="16.5" thickBot="1">
      <c r="A130" s="39" t="s">
        <v>291</v>
      </c>
      <c r="B130" s="39" t="s">
        <v>57</v>
      </c>
      <c r="C130" s="66" t="s">
        <v>76</v>
      </c>
      <c r="D130" s="66" t="s">
        <v>77</v>
      </c>
      <c r="E130" s="67" t="s">
        <v>71</v>
      </c>
    </row>
    <row r="131" spans="1:5" ht="27" thickBot="1">
      <c r="A131" s="140">
        <v>1</v>
      </c>
      <c r="B131" s="141" t="s">
        <v>204</v>
      </c>
      <c r="C131" s="142">
        <v>2</v>
      </c>
      <c r="D131" s="143">
        <v>43.9</v>
      </c>
      <c r="E131" s="68">
        <f>C131*D131</f>
        <v>87.8</v>
      </c>
    </row>
    <row r="132" spans="1:5" ht="27" thickBot="1">
      <c r="A132" s="144">
        <v>2</v>
      </c>
      <c r="B132" s="141" t="s">
        <v>205</v>
      </c>
      <c r="C132" s="145">
        <v>4</v>
      </c>
      <c r="D132" s="143">
        <v>16.8</v>
      </c>
      <c r="E132" s="68">
        <f t="shared" ref="E132:E135" si="1">C132*D132</f>
        <v>67.2</v>
      </c>
    </row>
    <row r="133" spans="1:5" ht="27" thickBot="1">
      <c r="A133" s="144">
        <v>3</v>
      </c>
      <c r="B133" s="141" t="s">
        <v>124</v>
      </c>
      <c r="C133" s="145">
        <v>4</v>
      </c>
      <c r="D133" s="143">
        <v>9.73</v>
      </c>
      <c r="E133" s="68">
        <f t="shared" si="1"/>
        <v>38.92</v>
      </c>
    </row>
    <row r="134" spans="1:5" ht="27" thickBot="1">
      <c r="A134" s="144">
        <v>4</v>
      </c>
      <c r="B134" s="141" t="s">
        <v>141</v>
      </c>
      <c r="C134" s="145">
        <v>2</v>
      </c>
      <c r="D134" s="143">
        <v>40.369999999999997</v>
      </c>
      <c r="E134" s="68">
        <f t="shared" si="1"/>
        <v>80.739999999999995</v>
      </c>
    </row>
    <row r="135" spans="1:5" ht="27" thickBot="1">
      <c r="A135" s="144">
        <v>5</v>
      </c>
      <c r="B135" s="141" t="s">
        <v>125</v>
      </c>
      <c r="C135" s="145">
        <v>1</v>
      </c>
      <c r="D135" s="143">
        <v>2.95</v>
      </c>
      <c r="E135" s="68">
        <f t="shared" si="1"/>
        <v>2.95</v>
      </c>
    </row>
    <row r="136" spans="1:5" ht="16.5" thickBot="1">
      <c r="A136" s="163" t="s">
        <v>292</v>
      </c>
      <c r="B136" s="164"/>
      <c r="C136" s="40"/>
      <c r="D136" s="40"/>
      <c r="E136" s="69">
        <f>SUM(E131:E135)</f>
        <v>277.61</v>
      </c>
    </row>
    <row r="137" spans="1:5" ht="16.5" thickBot="1">
      <c r="A137" s="163" t="s">
        <v>293</v>
      </c>
      <c r="B137" s="164"/>
      <c r="C137" s="40"/>
      <c r="D137" s="40"/>
      <c r="E137" s="69">
        <f>E136/12</f>
        <v>23.134166666666669</v>
      </c>
    </row>
    <row r="138" spans="1:5" ht="16.5" thickBot="1">
      <c r="A138" s="139"/>
      <c r="B138" s="139"/>
      <c r="C138" s="139"/>
      <c r="D138" s="119"/>
      <c r="E138" s="119"/>
    </row>
    <row r="139" spans="1:5" ht="16.5" thickBot="1">
      <c r="A139" s="128">
        <v>5</v>
      </c>
      <c r="B139" s="146" t="s">
        <v>78</v>
      </c>
      <c r="C139" s="129" t="s">
        <v>229</v>
      </c>
      <c r="D139" s="119"/>
      <c r="E139" s="119"/>
    </row>
    <row r="140" spans="1:5" ht="16.5" thickBot="1">
      <c r="A140" s="130" t="s">
        <v>185</v>
      </c>
      <c r="B140" s="131" t="s">
        <v>294</v>
      </c>
      <c r="C140" s="132">
        <f>E137</f>
        <v>23.134166666666669</v>
      </c>
      <c r="D140" s="119"/>
      <c r="E140" s="119"/>
    </row>
    <row r="141" spans="1:5" ht="16.5" thickBot="1">
      <c r="A141" s="130" t="s">
        <v>187</v>
      </c>
      <c r="B141" s="131" t="s">
        <v>295</v>
      </c>
      <c r="C141" s="132">
        <f>'Materiais '!H79</f>
        <v>433.11302861483779</v>
      </c>
      <c r="D141" s="119"/>
      <c r="E141" s="119"/>
    </row>
    <row r="142" spans="1:5" ht="16.5" thickBot="1">
      <c r="A142" s="130" t="s">
        <v>190</v>
      </c>
      <c r="B142" s="131" t="s">
        <v>296</v>
      </c>
      <c r="C142" s="132">
        <f>Equipamentos!I32</f>
        <v>25.002336434307676</v>
      </c>
      <c r="D142" s="119"/>
      <c r="E142" s="119"/>
    </row>
    <row r="143" spans="1:5" ht="16.5" thickBot="1">
      <c r="A143" s="130" t="s">
        <v>192</v>
      </c>
      <c r="B143" s="131" t="s">
        <v>237</v>
      </c>
      <c r="C143" s="132"/>
      <c r="D143" s="119"/>
      <c r="E143" s="119"/>
    </row>
    <row r="144" spans="1:5" ht="16.5" thickBot="1">
      <c r="A144" s="158" t="s">
        <v>255</v>
      </c>
      <c r="B144" s="159"/>
      <c r="C144" s="132">
        <f>SUM(C140:C143)</f>
        <v>481.24953171581211</v>
      </c>
      <c r="D144" s="119"/>
      <c r="E144" s="119"/>
    </row>
    <row r="145" spans="1:5" ht="15.75">
      <c r="A145" s="119"/>
      <c r="B145" s="119"/>
      <c r="C145" s="119"/>
      <c r="D145" s="119"/>
      <c r="E145" s="119"/>
    </row>
    <row r="146" spans="1:5" ht="15.75">
      <c r="A146" s="119"/>
      <c r="B146" s="119"/>
      <c r="C146" s="119"/>
      <c r="D146" s="119"/>
      <c r="E146" s="119"/>
    </row>
    <row r="147" spans="1:5" ht="15.75">
      <c r="A147" s="160" t="s">
        <v>297</v>
      </c>
      <c r="B147" s="160"/>
      <c r="C147" s="160"/>
      <c r="D147" s="119"/>
      <c r="E147" s="119"/>
    </row>
    <row r="148" spans="1:5" ht="16.5" thickBot="1">
      <c r="A148" s="119"/>
      <c r="B148" s="119"/>
      <c r="C148" s="119"/>
      <c r="D148" s="119"/>
      <c r="E148" s="119"/>
    </row>
    <row r="149" spans="1:5" ht="16.5" thickBot="1">
      <c r="A149" s="128">
        <v>6</v>
      </c>
      <c r="B149" s="146" t="s">
        <v>79</v>
      </c>
      <c r="C149" s="129" t="s">
        <v>247</v>
      </c>
      <c r="D149" s="129" t="s">
        <v>229</v>
      </c>
      <c r="E149" s="119"/>
    </row>
    <row r="150" spans="1:5" ht="16.5" thickBot="1">
      <c r="A150" s="130" t="s">
        <v>185</v>
      </c>
      <c r="B150" s="131" t="s">
        <v>137</v>
      </c>
      <c r="C150" s="147">
        <v>0.03</v>
      </c>
      <c r="D150" s="132">
        <f>C167*C150</f>
        <v>139.9126467033123</v>
      </c>
      <c r="E150" s="119"/>
    </row>
    <row r="151" spans="1:5" ht="16.5" thickBot="1">
      <c r="A151" s="130" t="s">
        <v>187</v>
      </c>
      <c r="B151" s="131" t="s">
        <v>138</v>
      </c>
      <c r="C151" s="147">
        <v>6.7900000000000002E-2</v>
      </c>
      <c r="D151" s="132">
        <f>(C167+D150)*C151</f>
        <v>326.16902574965172</v>
      </c>
      <c r="E151" s="119"/>
    </row>
    <row r="152" spans="1:5" ht="16.5" thickBot="1">
      <c r="A152" s="130" t="s">
        <v>190</v>
      </c>
      <c r="B152" s="131" t="s">
        <v>139</v>
      </c>
      <c r="C152" s="148">
        <v>8.6499999999999994E-2</v>
      </c>
      <c r="D152" s="138"/>
      <c r="E152" s="135">
        <f>(C167+D150+D151)/(1-C152)</f>
        <v>5615.584633347974</v>
      </c>
    </row>
    <row r="153" spans="1:5" ht="16.5" thickBot="1">
      <c r="A153" s="130"/>
      <c r="B153" s="131" t="s">
        <v>298</v>
      </c>
      <c r="C153" s="147">
        <v>6.4999999999999997E-3</v>
      </c>
      <c r="D153" s="132">
        <f>$E$152*C153</f>
        <v>36.501300116761826</v>
      </c>
      <c r="E153" s="119"/>
    </row>
    <row r="154" spans="1:5" ht="16.5" thickBot="1">
      <c r="A154" s="130"/>
      <c r="B154" s="131" t="s">
        <v>299</v>
      </c>
      <c r="C154" s="147">
        <v>0.03</v>
      </c>
      <c r="D154" s="132">
        <f>$E$152*C154</f>
        <v>168.46753900043922</v>
      </c>
      <c r="E154" s="119"/>
    </row>
    <row r="155" spans="1:5" ht="16.5" thickBot="1">
      <c r="A155" s="130"/>
      <c r="B155" s="131" t="s">
        <v>300</v>
      </c>
      <c r="C155" s="147">
        <v>0.05</v>
      </c>
      <c r="D155" s="132">
        <f t="shared" ref="D155" si="2">$E$152*C155</f>
        <v>280.77923166739873</v>
      </c>
      <c r="E155" s="119"/>
    </row>
    <row r="156" spans="1:5" ht="16.5" thickBot="1">
      <c r="A156" s="158" t="s">
        <v>255</v>
      </c>
      <c r="B156" s="159"/>
      <c r="C156" s="134">
        <v>0.30449999999999999</v>
      </c>
      <c r="D156" s="132">
        <f>SUM(D150:D155)</f>
        <v>951.82974323756389</v>
      </c>
      <c r="E156" s="135"/>
    </row>
    <row r="157" spans="1:5" ht="15.75">
      <c r="A157" s="119"/>
      <c r="B157" s="119"/>
      <c r="C157" s="119"/>
      <c r="D157" s="135"/>
      <c r="E157" s="119"/>
    </row>
    <row r="158" spans="1:5" ht="15.75">
      <c r="A158" s="119"/>
      <c r="B158" s="119"/>
      <c r="C158" s="119"/>
      <c r="D158" s="119"/>
      <c r="E158" s="119"/>
    </row>
    <row r="159" spans="1:5" ht="15.75">
      <c r="A159" s="160" t="s">
        <v>301</v>
      </c>
      <c r="B159" s="160"/>
      <c r="C159" s="160"/>
      <c r="D159" s="119"/>
      <c r="E159" s="119"/>
    </row>
    <row r="160" spans="1:5" ht="16.5" thickBot="1">
      <c r="A160" s="119"/>
      <c r="B160" s="119"/>
      <c r="C160" s="119"/>
      <c r="D160" s="119"/>
      <c r="E160" s="119"/>
    </row>
    <row r="161" spans="1:5" ht="32.25" thickBot="1">
      <c r="A161" s="128"/>
      <c r="B161" s="129" t="s">
        <v>302</v>
      </c>
      <c r="C161" s="129" t="s">
        <v>229</v>
      </c>
      <c r="D161" s="119"/>
      <c r="E161" s="119"/>
    </row>
    <row r="162" spans="1:5" ht="16.5" thickBot="1">
      <c r="A162" s="149" t="s">
        <v>185</v>
      </c>
      <c r="B162" s="131" t="s">
        <v>227</v>
      </c>
      <c r="C162" s="150">
        <f>C39</f>
        <v>2014.8000000000002</v>
      </c>
      <c r="D162" s="119"/>
      <c r="E162" s="119"/>
    </row>
    <row r="163" spans="1:5" ht="16.5" thickBot="1">
      <c r="A163" s="149" t="s">
        <v>187</v>
      </c>
      <c r="B163" s="131" t="s">
        <v>238</v>
      </c>
      <c r="C163" s="150">
        <f>C82</f>
        <v>1924.3832000000002</v>
      </c>
      <c r="D163" s="119"/>
      <c r="E163" s="119"/>
    </row>
    <row r="164" spans="1:5" ht="16.5" thickBot="1">
      <c r="A164" s="149" t="s">
        <v>190</v>
      </c>
      <c r="B164" s="131" t="s">
        <v>265</v>
      </c>
      <c r="C164" s="150">
        <f>C94</f>
        <v>199.2069197184</v>
      </c>
      <c r="D164" s="119"/>
      <c r="E164" s="119"/>
    </row>
    <row r="165" spans="1:5" ht="16.5" thickBot="1">
      <c r="A165" s="149" t="s">
        <v>192</v>
      </c>
      <c r="B165" s="131" t="s">
        <v>273</v>
      </c>
      <c r="C165" s="150">
        <f>C124</f>
        <v>44.115238676198153</v>
      </c>
      <c r="D165" s="119"/>
      <c r="E165" s="119"/>
    </row>
    <row r="166" spans="1:5" ht="16.5" thickBot="1">
      <c r="A166" s="149" t="s">
        <v>234</v>
      </c>
      <c r="B166" s="131" t="s">
        <v>289</v>
      </c>
      <c r="C166" s="150">
        <f>C144</f>
        <v>481.24953171581211</v>
      </c>
      <c r="D166" s="119"/>
      <c r="E166" s="119"/>
    </row>
    <row r="167" spans="1:5" ht="16.5" thickBot="1">
      <c r="A167" s="158" t="s">
        <v>303</v>
      </c>
      <c r="B167" s="159"/>
      <c r="C167" s="150">
        <f>SUM(C162:C166)</f>
        <v>4663.7548901104101</v>
      </c>
      <c r="D167" s="119"/>
      <c r="E167" s="119"/>
    </row>
    <row r="168" spans="1:5" ht="16.5" thickBot="1">
      <c r="A168" s="149" t="s">
        <v>236</v>
      </c>
      <c r="B168" s="131" t="s">
        <v>304</v>
      </c>
      <c r="C168" s="150">
        <f>D156</f>
        <v>951.82974323756389</v>
      </c>
      <c r="D168" s="119"/>
      <c r="E168" s="119"/>
    </row>
    <row r="169" spans="1:5" ht="16.5" thickBot="1">
      <c r="A169" s="158" t="s">
        <v>305</v>
      </c>
      <c r="B169" s="159"/>
      <c r="C169" s="150">
        <f>C167+C168</f>
        <v>5615.584633347974</v>
      </c>
      <c r="D169" s="119"/>
      <c r="E169" s="119"/>
    </row>
    <row r="170" spans="1:5" ht="15.75">
      <c r="A170" s="119"/>
      <c r="B170" s="119"/>
      <c r="C170" s="119"/>
      <c r="D170" s="119"/>
      <c r="E170" s="119"/>
    </row>
    <row r="171" spans="1:5" ht="15.75">
      <c r="A171" s="110" t="s">
        <v>458</v>
      </c>
      <c r="D171" s="119"/>
      <c r="E171" s="119"/>
    </row>
    <row r="173" spans="1:5">
      <c r="A173" s="112"/>
      <c r="B173" s="112"/>
      <c r="C173" s="113"/>
    </row>
    <row r="174" spans="1:5" ht="15.75">
      <c r="A174" s="151"/>
      <c r="B174" s="151"/>
      <c r="C174" s="152"/>
      <c r="D174" s="152"/>
      <c r="E174" s="119"/>
    </row>
    <row r="175" spans="1:5" ht="15.75">
      <c r="A175" s="119"/>
      <c r="B175" s="119"/>
      <c r="C175" s="152"/>
      <c r="D175" s="152"/>
      <c r="E175" s="119"/>
    </row>
    <row r="176" spans="1:5" ht="15.75">
      <c r="A176" s="153"/>
      <c r="B176" s="151"/>
      <c r="C176" s="152"/>
      <c r="D176" s="152"/>
      <c r="E176" s="119"/>
    </row>
    <row r="177" spans="1:5" ht="15.75">
      <c r="A177" s="136"/>
      <c r="B177" s="136"/>
      <c r="C177" s="136"/>
      <c r="D177" s="152"/>
      <c r="E177" s="119"/>
    </row>
    <row r="178" spans="1:5" ht="15.75">
      <c r="A178" s="136"/>
      <c r="B178" s="136"/>
      <c r="C178" s="136"/>
      <c r="D178" s="152"/>
      <c r="E178" s="119"/>
    </row>
    <row r="179" spans="1:5" ht="15.75">
      <c r="A179" s="119"/>
      <c r="B179" s="119"/>
      <c r="C179" s="119"/>
      <c r="D179" s="119"/>
      <c r="E179" s="119"/>
    </row>
    <row r="180" spans="1:5" ht="15.75">
      <c r="A180" s="119"/>
      <c r="B180" s="112"/>
      <c r="C180" s="119"/>
      <c r="D180" s="119"/>
      <c r="E180" s="119"/>
    </row>
    <row r="181" spans="1:5" ht="15.75">
      <c r="A181" s="119"/>
      <c r="B181" s="151"/>
      <c r="C181" s="119"/>
      <c r="D181" s="119"/>
      <c r="E181" s="119"/>
    </row>
    <row r="182" spans="1:5" ht="15.75">
      <c r="A182" s="119"/>
      <c r="B182" s="119"/>
      <c r="C182" s="119"/>
      <c r="D182" s="119"/>
      <c r="E182" s="119"/>
    </row>
    <row r="183" spans="1:5" ht="15.75">
      <c r="A183" s="119"/>
      <c r="B183" s="151"/>
      <c r="C183" s="119"/>
      <c r="D183" s="119"/>
      <c r="E183" s="119"/>
    </row>
    <row r="184" spans="1:5" ht="15.75">
      <c r="A184" s="119"/>
      <c r="B184" s="136"/>
      <c r="C184" s="119"/>
      <c r="D184" s="119"/>
      <c r="E184" s="119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147"/>
  <sheetViews>
    <sheetView tabSelected="1" topLeftCell="A94" zoomScaleNormal="100" workbookViewId="0">
      <selection activeCell="J135" sqref="J13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18.710937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5.85546875" style="2" customWidth="1"/>
    <col min="25" max="25" width="13.7109375" style="2" customWidth="1"/>
    <col min="26" max="16384" width="9.140625" style="2"/>
  </cols>
  <sheetData>
    <row r="1" spans="2:21" ht="25.5" customHeight="1">
      <c r="J1" s="228"/>
      <c r="K1" s="228"/>
      <c r="L1" s="228"/>
      <c r="M1" s="228"/>
      <c r="N1" s="228"/>
    </row>
    <row r="2" spans="2:21">
      <c r="C2" s="221" t="s">
        <v>36</v>
      </c>
      <c r="D2" s="222"/>
      <c r="E2" s="222"/>
      <c r="F2" s="223"/>
      <c r="I2" s="229" t="s">
        <v>150</v>
      </c>
      <c r="J2" s="229"/>
      <c r="K2" s="229"/>
      <c r="L2" s="229"/>
      <c r="M2" s="229"/>
      <c r="N2" s="229"/>
      <c r="O2" s="229"/>
      <c r="R2" s="221" t="s">
        <v>56</v>
      </c>
      <c r="S2" s="222"/>
      <c r="T2" s="222"/>
      <c r="U2" s="223"/>
    </row>
    <row r="3" spans="2:21">
      <c r="C3" s="224"/>
      <c r="D3" s="225"/>
      <c r="E3" s="225"/>
      <c r="F3" s="226"/>
      <c r="I3" s="229"/>
      <c r="J3" s="229"/>
      <c r="K3" s="229"/>
      <c r="L3" s="229"/>
      <c r="M3" s="229"/>
      <c r="N3" s="229"/>
      <c r="O3" s="229"/>
      <c r="R3" s="224"/>
      <c r="S3" s="225"/>
      <c r="T3" s="225"/>
      <c r="U3" s="226"/>
    </row>
    <row r="4" spans="2:21" ht="18" customHeight="1">
      <c r="C4" s="220" t="s">
        <v>63</v>
      </c>
      <c r="D4" s="220"/>
      <c r="E4" s="220"/>
      <c r="F4" s="220"/>
      <c r="J4" s="220" t="s">
        <v>174</v>
      </c>
      <c r="K4" s="220"/>
      <c r="L4" s="220"/>
      <c r="M4" s="220"/>
      <c r="N4" s="220"/>
      <c r="R4" s="220" t="s">
        <v>55</v>
      </c>
      <c r="S4" s="220"/>
      <c r="T4" s="220"/>
      <c r="U4" s="220"/>
    </row>
    <row r="5" spans="2:21" ht="18" customHeight="1">
      <c r="C5" s="81" t="s">
        <v>4</v>
      </c>
      <c r="D5" s="193" t="s">
        <v>5</v>
      </c>
      <c r="E5" s="194"/>
      <c r="F5" s="195"/>
      <c r="J5" s="198" t="s">
        <v>4</v>
      </c>
      <c r="K5" s="198"/>
      <c r="L5" s="193" t="s">
        <v>42</v>
      </c>
      <c r="M5" s="194"/>
      <c r="N5" s="195"/>
      <c r="R5" s="81" t="s">
        <v>4</v>
      </c>
      <c r="S5" s="193" t="s">
        <v>5</v>
      </c>
      <c r="T5" s="194"/>
      <c r="U5" s="195"/>
    </row>
    <row r="6" spans="2:21" ht="47.25">
      <c r="B6" s="2">
        <v>1</v>
      </c>
      <c r="C6" s="87" t="s">
        <v>0</v>
      </c>
      <c r="D6" s="86" t="s">
        <v>58</v>
      </c>
      <c r="E6" s="87" t="s">
        <v>1</v>
      </c>
      <c r="F6" s="87" t="s">
        <v>59</v>
      </c>
      <c r="J6" s="87" t="s">
        <v>81</v>
      </c>
      <c r="K6" s="87" t="s">
        <v>0</v>
      </c>
      <c r="L6" s="86" t="s">
        <v>58</v>
      </c>
      <c r="M6" s="87" t="s">
        <v>1</v>
      </c>
      <c r="N6" s="87" t="s">
        <v>59</v>
      </c>
      <c r="R6" s="87" t="s">
        <v>0</v>
      </c>
      <c r="S6" s="86" t="s">
        <v>58</v>
      </c>
      <c r="T6" s="87" t="s">
        <v>1</v>
      </c>
      <c r="U6" s="87" t="s">
        <v>59</v>
      </c>
    </row>
    <row r="7" spans="2:21" ht="18" customHeight="1">
      <c r="C7" s="7" t="s">
        <v>6</v>
      </c>
      <c r="D7" s="3" t="s">
        <v>30</v>
      </c>
      <c r="E7" s="76">
        <v>3189.8</v>
      </c>
      <c r="F7" s="1">
        <f>1/(30*600)*E7</f>
        <v>0.17721111111111112</v>
      </c>
      <c r="J7" s="188" t="s">
        <v>151</v>
      </c>
      <c r="K7" s="7" t="s">
        <v>6</v>
      </c>
      <c r="L7" s="3" t="s">
        <v>133</v>
      </c>
      <c r="M7" s="1">
        <f>'Encarregado '!C$169</f>
        <v>5493.1992562333526</v>
      </c>
      <c r="N7" s="1">
        <f>1/(30*1200)*M7</f>
        <v>0.15258886822870424</v>
      </c>
      <c r="R7" s="7" t="s">
        <v>6</v>
      </c>
      <c r="S7" s="3" t="s">
        <v>30</v>
      </c>
      <c r="T7" s="8">
        <v>3123.76</v>
      </c>
      <c r="U7" s="9">
        <f>1/(30*600)*T7</f>
        <v>0.17354222222222224</v>
      </c>
    </row>
    <row r="8" spans="2:21" ht="18" customHeight="1">
      <c r="C8" s="10" t="s">
        <v>2</v>
      </c>
      <c r="D8" s="4" t="s">
        <v>7</v>
      </c>
      <c r="E8" s="2">
        <v>2588.58</v>
      </c>
      <c r="F8" s="1">
        <f>(1/600)*E8</f>
        <v>4.3143000000000002</v>
      </c>
      <c r="J8" s="189"/>
      <c r="K8" s="7" t="s">
        <v>180</v>
      </c>
      <c r="L8" s="42" t="s">
        <v>19</v>
      </c>
      <c r="M8" s="19">
        <f>'Aux Limpeza 1200m'!C$169</f>
        <v>4430.1726398925121</v>
      </c>
      <c r="N8" s="1">
        <f>(1/1200)*M8</f>
        <v>3.6918105332437601</v>
      </c>
      <c r="R8" s="10" t="s">
        <v>2</v>
      </c>
      <c r="S8" s="4" t="s">
        <v>7</v>
      </c>
      <c r="T8" s="2">
        <v>2712.22</v>
      </c>
      <c r="U8" s="9">
        <f>(1/600)*T8</f>
        <v>4.5203666666666669</v>
      </c>
    </row>
    <row r="9" spans="2:21" ht="18" customHeight="1">
      <c r="C9" s="193" t="s">
        <v>37</v>
      </c>
      <c r="D9" s="194"/>
      <c r="E9" s="195"/>
      <c r="F9" s="26">
        <f>SUM(F7:F8)</f>
        <v>4.4915111111111115</v>
      </c>
      <c r="G9" s="12"/>
      <c r="H9" s="12"/>
      <c r="I9" s="12"/>
      <c r="J9" s="198" t="s">
        <v>37</v>
      </c>
      <c r="K9" s="198"/>
      <c r="L9" s="198"/>
      <c r="M9" s="198"/>
      <c r="N9" s="26">
        <f>SUM(N7:N8)</f>
        <v>3.8443994014724643</v>
      </c>
      <c r="O9" s="12"/>
      <c r="P9" s="12"/>
      <c r="R9" s="193" t="s">
        <v>37</v>
      </c>
      <c r="S9" s="194"/>
      <c r="T9" s="195"/>
      <c r="U9" s="11">
        <f>SUM(U7:U8)</f>
        <v>4.6939088888888891</v>
      </c>
    </row>
    <row r="10" spans="2:21" ht="18" customHeight="1">
      <c r="C10" s="27"/>
      <c r="D10" s="27"/>
      <c r="E10" s="27"/>
      <c r="F10" s="41"/>
      <c r="G10" s="12"/>
      <c r="H10" s="12"/>
      <c r="I10" s="12"/>
      <c r="O10" s="12"/>
      <c r="P10" s="12"/>
      <c r="R10" s="27"/>
      <c r="S10" s="27"/>
      <c r="T10" s="27"/>
      <c r="U10" s="28"/>
    </row>
    <row r="11" spans="2:21">
      <c r="C11" s="27"/>
      <c r="D11" s="27"/>
      <c r="E11" s="27"/>
      <c r="F11" s="41"/>
      <c r="G11" s="12"/>
      <c r="H11" s="12"/>
      <c r="J11" s="198" t="s">
        <v>4</v>
      </c>
      <c r="K11" s="198"/>
      <c r="L11" s="193" t="s">
        <v>80</v>
      </c>
      <c r="M11" s="194"/>
      <c r="N11" s="195"/>
      <c r="O11" s="12"/>
      <c r="P11" s="12"/>
      <c r="R11" s="27"/>
      <c r="S11" s="27"/>
      <c r="T11" s="27"/>
      <c r="U11" s="28"/>
    </row>
    <row r="12" spans="2:21" ht="28.9" customHeight="1">
      <c r="C12" s="27"/>
      <c r="D12" s="27"/>
      <c r="E12" s="27"/>
      <c r="F12" s="41"/>
      <c r="G12" s="12"/>
      <c r="H12" s="12"/>
      <c r="I12" s="12"/>
      <c r="J12" s="87" t="s">
        <v>81</v>
      </c>
      <c r="K12" s="87" t="s">
        <v>0</v>
      </c>
      <c r="L12" s="86" t="s">
        <v>58</v>
      </c>
      <c r="M12" s="87" t="s">
        <v>1</v>
      </c>
      <c r="N12" s="87" t="s">
        <v>59</v>
      </c>
      <c r="O12" s="12"/>
      <c r="P12" s="12"/>
      <c r="R12" s="27"/>
      <c r="S12" s="27"/>
      <c r="T12" s="27"/>
      <c r="U12" s="28"/>
    </row>
    <row r="13" spans="2:21" ht="18" customHeight="1">
      <c r="C13" s="27"/>
      <c r="D13" s="27"/>
      <c r="E13" s="27"/>
      <c r="F13" s="41"/>
      <c r="G13" s="12"/>
      <c r="H13" s="12"/>
      <c r="I13" s="12"/>
      <c r="J13" s="188" t="s">
        <v>151</v>
      </c>
      <c r="K13" s="7" t="s">
        <v>6</v>
      </c>
      <c r="L13" s="3" t="s">
        <v>133</v>
      </c>
      <c r="M13" s="1">
        <f>'Encarregado '!C$169</f>
        <v>5493.1992562333526</v>
      </c>
      <c r="N13" s="1">
        <f>1/(30*1200)*M13</f>
        <v>0.15258886822870424</v>
      </c>
      <c r="O13" s="12"/>
      <c r="P13" s="85"/>
      <c r="R13" s="27"/>
      <c r="S13" s="27"/>
      <c r="T13" s="27"/>
      <c r="U13" s="28"/>
    </row>
    <row r="14" spans="2:21" ht="18" customHeight="1">
      <c r="C14" s="27"/>
      <c r="D14" s="27"/>
      <c r="E14" s="27"/>
      <c r="F14" s="41"/>
      <c r="G14" s="12"/>
      <c r="H14" s="12"/>
      <c r="I14" s="12"/>
      <c r="J14" s="189"/>
      <c r="K14" s="7" t="s">
        <v>180</v>
      </c>
      <c r="L14" s="42" t="s">
        <v>19</v>
      </c>
      <c r="M14" s="19">
        <f>'Aux Limpeza 1200m'!C$169</f>
        <v>4430.1726398925121</v>
      </c>
      <c r="N14" s="1">
        <f>(1/1200)*M14</f>
        <v>3.6918105332437601</v>
      </c>
      <c r="O14" s="12"/>
      <c r="P14" s="12"/>
      <c r="R14" s="27"/>
      <c r="S14" s="27"/>
      <c r="T14" s="27"/>
      <c r="U14" s="28"/>
    </row>
    <row r="15" spans="2:21" ht="18" customHeight="1">
      <c r="C15" s="27"/>
      <c r="D15" s="27"/>
      <c r="E15" s="27"/>
      <c r="F15" s="41"/>
      <c r="G15" s="12"/>
      <c r="H15" s="12"/>
      <c r="I15" s="12"/>
      <c r="J15" s="198" t="s">
        <v>37</v>
      </c>
      <c r="K15" s="198"/>
      <c r="L15" s="198"/>
      <c r="M15" s="198"/>
      <c r="N15" s="26">
        <f>SUM(N13:N14)</f>
        <v>3.8443994014724643</v>
      </c>
      <c r="O15" s="12"/>
      <c r="P15" s="12"/>
      <c r="R15" s="27"/>
      <c r="S15" s="27"/>
      <c r="T15" s="27"/>
      <c r="U15" s="28"/>
    </row>
    <row r="17" spans="2:21" ht="18" customHeight="1">
      <c r="C17" s="81" t="s">
        <v>4</v>
      </c>
      <c r="D17" s="193" t="s">
        <v>8</v>
      </c>
      <c r="E17" s="194"/>
      <c r="F17" s="195"/>
      <c r="J17" s="198" t="s">
        <v>4</v>
      </c>
      <c r="K17" s="198"/>
      <c r="L17" s="193" t="s">
        <v>8</v>
      </c>
      <c r="M17" s="194"/>
      <c r="N17" s="195"/>
      <c r="R17" s="81" t="s">
        <v>4</v>
      </c>
      <c r="S17" s="193" t="s">
        <v>8</v>
      </c>
      <c r="T17" s="194"/>
      <c r="U17" s="195"/>
    </row>
    <row r="18" spans="2:21" ht="47.25">
      <c r="B18" s="2">
        <v>2</v>
      </c>
      <c r="C18" s="87" t="s">
        <v>0</v>
      </c>
      <c r="D18" s="86" t="s">
        <v>58</v>
      </c>
      <c r="E18" s="87" t="s">
        <v>1</v>
      </c>
      <c r="F18" s="87" t="s">
        <v>59</v>
      </c>
      <c r="J18" s="87" t="s">
        <v>81</v>
      </c>
      <c r="K18" s="87" t="s">
        <v>0</v>
      </c>
      <c r="L18" s="86" t="s">
        <v>58</v>
      </c>
      <c r="M18" s="87" t="s">
        <v>1</v>
      </c>
      <c r="N18" s="87" t="s">
        <v>59</v>
      </c>
      <c r="R18" s="87" t="s">
        <v>0</v>
      </c>
      <c r="S18" s="86" t="s">
        <v>58</v>
      </c>
      <c r="T18" s="87" t="s">
        <v>1</v>
      </c>
      <c r="U18" s="87" t="s">
        <v>59</v>
      </c>
    </row>
    <row r="19" spans="2:21" ht="18" customHeight="1">
      <c r="C19" s="7" t="s">
        <v>6</v>
      </c>
      <c r="D19" s="3" t="s">
        <v>64</v>
      </c>
      <c r="E19" s="8">
        <f>E7</f>
        <v>3189.8</v>
      </c>
      <c r="F19" s="1">
        <f>1/(30*600)*E19</f>
        <v>0.17721111111111112</v>
      </c>
      <c r="J19" s="188" t="s">
        <v>152</v>
      </c>
      <c r="K19" s="7" t="s">
        <v>6</v>
      </c>
      <c r="L19" s="3" t="s">
        <v>153</v>
      </c>
      <c r="M19" s="1">
        <f>'Encarregado '!C$169</f>
        <v>5493.1992562333526</v>
      </c>
      <c r="N19" s="1">
        <f>1/(30*450)*M19</f>
        <v>0.40690364860987799</v>
      </c>
      <c r="R19" s="7" t="s">
        <v>6</v>
      </c>
      <c r="S19" s="3" t="s">
        <v>29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2</v>
      </c>
      <c r="D20" s="4" t="s">
        <v>7</v>
      </c>
      <c r="E20" s="2">
        <f>E8</f>
        <v>2588.58</v>
      </c>
      <c r="F20" s="1">
        <f>(1/600)*E20</f>
        <v>4.3143000000000002</v>
      </c>
      <c r="J20" s="189"/>
      <c r="K20" s="7" t="s">
        <v>180</v>
      </c>
      <c r="L20" s="4" t="s">
        <v>154</v>
      </c>
      <c r="M20" s="19">
        <f>'Aux Limpeza 1200m'!C$169</f>
        <v>4430.1726398925121</v>
      </c>
      <c r="N20" s="1">
        <f>(1/450)*M20</f>
        <v>9.8448280886500275</v>
      </c>
      <c r="R20" s="10" t="s">
        <v>2</v>
      </c>
      <c r="S20" s="4" t="s">
        <v>9</v>
      </c>
      <c r="T20" s="8">
        <f>T8</f>
        <v>2712.22</v>
      </c>
      <c r="U20" s="9">
        <f>(1/330)*T20</f>
        <v>8.2188484848484844</v>
      </c>
    </row>
    <row r="21" spans="2:21" ht="18" customHeight="1">
      <c r="C21" s="193" t="s">
        <v>37</v>
      </c>
      <c r="D21" s="194"/>
      <c r="E21" s="195"/>
      <c r="F21" s="26">
        <f>SUM(F19:F20)</f>
        <v>4.4915111111111115</v>
      </c>
      <c r="J21" s="198" t="s">
        <v>37</v>
      </c>
      <c r="K21" s="198"/>
      <c r="L21" s="198"/>
      <c r="M21" s="198"/>
      <c r="N21" s="26">
        <f>SUM(N19:N20)</f>
        <v>10.251731737259906</v>
      </c>
      <c r="R21" s="193" t="s">
        <v>37</v>
      </c>
      <c r="S21" s="194"/>
      <c r="T21" s="195"/>
      <c r="U21" s="11">
        <f>SUM(U19:U20)</f>
        <v>8.5343797979797973</v>
      </c>
    </row>
    <row r="22" spans="2:21" ht="18" customHeight="1">
      <c r="C22" s="27"/>
      <c r="D22" s="27"/>
      <c r="E22" s="27"/>
      <c r="F22" s="41"/>
      <c r="R22" s="27"/>
      <c r="S22" s="27"/>
      <c r="T22" s="27"/>
      <c r="U22" s="28"/>
    </row>
    <row r="23" spans="2:21" ht="18" customHeight="1">
      <c r="C23" s="27"/>
      <c r="D23" s="27"/>
      <c r="E23" s="27"/>
      <c r="F23" s="41"/>
      <c r="J23" s="198" t="s">
        <v>4</v>
      </c>
      <c r="K23" s="198"/>
      <c r="L23" s="193" t="s">
        <v>147</v>
      </c>
      <c r="M23" s="194"/>
      <c r="N23" s="195"/>
      <c r="R23" s="27"/>
      <c r="S23" s="27"/>
      <c r="T23" s="27"/>
      <c r="U23" s="28"/>
    </row>
    <row r="24" spans="2:21" ht="32.25">
      <c r="C24" s="27"/>
      <c r="D24" s="27"/>
      <c r="E24" s="27"/>
      <c r="F24" s="41"/>
      <c r="J24" s="87" t="s">
        <v>81</v>
      </c>
      <c r="K24" s="87" t="s">
        <v>0</v>
      </c>
      <c r="L24" s="86" t="s">
        <v>58</v>
      </c>
      <c r="M24" s="87" t="s">
        <v>1</v>
      </c>
      <c r="N24" s="87" t="s">
        <v>59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41"/>
      <c r="J25" s="188" t="s">
        <v>152</v>
      </c>
      <c r="K25" s="7" t="s">
        <v>6</v>
      </c>
      <c r="L25" s="3" t="s">
        <v>153</v>
      </c>
      <c r="M25" s="1">
        <f>'Encarregado '!C$169</f>
        <v>5493.1992562333526</v>
      </c>
      <c r="N25" s="1">
        <f>1/(30*450)*M25</f>
        <v>0.40690364860987799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41"/>
      <c r="J26" s="189"/>
      <c r="K26" s="7" t="s">
        <v>180</v>
      </c>
      <c r="L26" s="4" t="s">
        <v>154</v>
      </c>
      <c r="M26" s="19">
        <f>'Aux Limpeza Ins 20% 1200m'!C169</f>
        <v>5022.878636620243</v>
      </c>
      <c r="N26" s="1">
        <f>(1/450)*M26</f>
        <v>11.161952525822763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41"/>
      <c r="J27" s="198" t="s">
        <v>37</v>
      </c>
      <c r="K27" s="198"/>
      <c r="L27" s="198"/>
      <c r="M27" s="198"/>
      <c r="N27" s="26">
        <f>SUM(N25:N26)</f>
        <v>11.568856174432641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41"/>
      <c r="R28" s="27"/>
      <c r="S28" s="27"/>
      <c r="T28" s="27"/>
      <c r="U28" s="28"/>
    </row>
    <row r="29" spans="2:21" ht="18" customHeight="1">
      <c r="C29" s="27"/>
      <c r="D29" s="27"/>
      <c r="E29" s="27"/>
      <c r="F29" s="41"/>
      <c r="J29" s="198" t="s">
        <v>4</v>
      </c>
      <c r="K29" s="198"/>
      <c r="L29" s="193" t="s">
        <v>108</v>
      </c>
      <c r="M29" s="194"/>
      <c r="N29" s="195"/>
      <c r="R29" s="27"/>
      <c r="S29" s="27"/>
      <c r="T29" s="27"/>
      <c r="U29" s="28"/>
    </row>
    <row r="30" spans="2:21" ht="32.25">
      <c r="C30" s="27"/>
      <c r="D30" s="27"/>
      <c r="E30" s="27"/>
      <c r="F30" s="41"/>
      <c r="J30" s="87" t="s">
        <v>81</v>
      </c>
      <c r="K30" s="87" t="s">
        <v>0</v>
      </c>
      <c r="L30" s="86" t="s">
        <v>58</v>
      </c>
      <c r="M30" s="87" t="s">
        <v>1</v>
      </c>
      <c r="N30" s="87" t="s">
        <v>59</v>
      </c>
      <c r="R30" s="27"/>
      <c r="S30" s="27"/>
      <c r="T30" s="27"/>
      <c r="U30" s="28"/>
    </row>
    <row r="31" spans="2:21" ht="18" customHeight="1">
      <c r="C31" s="27"/>
      <c r="D31" s="27"/>
      <c r="E31" s="27"/>
      <c r="F31" s="41"/>
      <c r="J31" s="188" t="s">
        <v>152</v>
      </c>
      <c r="K31" s="7" t="s">
        <v>6</v>
      </c>
      <c r="L31" s="3" t="s">
        <v>153</v>
      </c>
      <c r="M31" s="1">
        <f>'Encarregado '!C$169</f>
        <v>5493.1992562333526</v>
      </c>
      <c r="N31" s="1">
        <f>1/(30*450)*M31</f>
        <v>0.40690364860987799</v>
      </c>
      <c r="R31" s="27"/>
      <c r="S31" s="27"/>
      <c r="T31" s="27"/>
      <c r="U31" s="28"/>
    </row>
    <row r="32" spans="2:21" ht="18" customHeight="1">
      <c r="C32" s="27"/>
      <c r="D32" s="27"/>
      <c r="E32" s="27"/>
      <c r="F32" s="41"/>
      <c r="J32" s="189"/>
      <c r="K32" s="7" t="s">
        <v>180</v>
      </c>
      <c r="L32" s="4" t="s">
        <v>154</v>
      </c>
      <c r="M32" s="19">
        <f>'Aux Limpeza Ins 40% 1200m'!C169</f>
        <v>5615.584633347974</v>
      </c>
      <c r="N32" s="1">
        <f>(1/450)*M32</f>
        <v>12.479076962995498</v>
      </c>
      <c r="R32" s="27"/>
      <c r="S32" s="27"/>
      <c r="T32" s="27"/>
      <c r="U32" s="28"/>
    </row>
    <row r="33" spans="2:21" ht="18" customHeight="1">
      <c r="C33" s="27"/>
      <c r="D33" s="27"/>
      <c r="E33" s="27"/>
      <c r="F33" s="41"/>
      <c r="J33" s="198" t="s">
        <v>37</v>
      </c>
      <c r="K33" s="198"/>
      <c r="L33" s="198"/>
      <c r="M33" s="198"/>
      <c r="N33" s="26">
        <f>SUM(N31:N32)</f>
        <v>12.885980611605376</v>
      </c>
      <c r="R33" s="27"/>
      <c r="S33" s="27"/>
      <c r="T33" s="27"/>
      <c r="U33" s="28"/>
    </row>
    <row r="34" spans="2:21" ht="18" customHeight="1">
      <c r="C34" s="27"/>
      <c r="D34" s="27"/>
      <c r="E34" s="27"/>
      <c r="F34" s="41"/>
      <c r="R34" s="27"/>
      <c r="S34" s="27"/>
      <c r="T34" s="27"/>
      <c r="U34" s="28"/>
    </row>
    <row r="36" spans="2:21" ht="18" customHeight="1">
      <c r="C36" s="81" t="s">
        <v>4</v>
      </c>
      <c r="D36" s="193" t="s">
        <v>11</v>
      </c>
      <c r="E36" s="194"/>
      <c r="F36" s="195"/>
      <c r="J36" s="198" t="s">
        <v>4</v>
      </c>
      <c r="K36" s="198"/>
      <c r="L36" s="193" t="s">
        <v>11</v>
      </c>
      <c r="M36" s="194"/>
      <c r="N36" s="195"/>
      <c r="R36" s="81" t="s">
        <v>4</v>
      </c>
      <c r="S36" s="193" t="s">
        <v>11</v>
      </c>
      <c r="T36" s="194"/>
      <c r="U36" s="195"/>
    </row>
    <row r="37" spans="2:21" ht="47.25">
      <c r="B37" s="2">
        <v>3</v>
      </c>
      <c r="C37" s="87" t="s">
        <v>0</v>
      </c>
      <c r="D37" s="86" t="s">
        <v>58</v>
      </c>
      <c r="E37" s="87" t="s">
        <v>1</v>
      </c>
      <c r="F37" s="87" t="s">
        <v>59</v>
      </c>
      <c r="J37" s="87" t="s">
        <v>81</v>
      </c>
      <c r="K37" s="87" t="s">
        <v>0</v>
      </c>
      <c r="L37" s="86" t="s">
        <v>58</v>
      </c>
      <c r="M37" s="87" t="s">
        <v>1</v>
      </c>
      <c r="N37" s="87" t="s">
        <v>59</v>
      </c>
      <c r="R37" s="87" t="s">
        <v>0</v>
      </c>
      <c r="S37" s="86" t="s">
        <v>58</v>
      </c>
      <c r="T37" s="87" t="s">
        <v>1</v>
      </c>
      <c r="U37" s="87" t="s">
        <v>59</v>
      </c>
    </row>
    <row r="38" spans="2:21" ht="18" customHeight="1">
      <c r="C38" s="7" t="s">
        <v>6</v>
      </c>
      <c r="D38" s="3" t="s">
        <v>30</v>
      </c>
      <c r="E38" s="8">
        <f>E19</f>
        <v>3189.8</v>
      </c>
      <c r="F38" s="1">
        <f>1/(30*600)*E38</f>
        <v>0.17721111111111112</v>
      </c>
      <c r="J38" s="188" t="s">
        <v>155</v>
      </c>
      <c r="K38" s="7" t="s">
        <v>6</v>
      </c>
      <c r="L38" s="3" t="s">
        <v>156</v>
      </c>
      <c r="M38" s="1">
        <f>'Encarregado '!C$169</f>
        <v>5493.1992562333526</v>
      </c>
      <c r="N38" s="1">
        <f>1/(30*2500)*M38</f>
        <v>7.3242656749778035E-2</v>
      </c>
      <c r="R38" s="7" t="s">
        <v>6</v>
      </c>
      <c r="S38" s="3" t="s">
        <v>28</v>
      </c>
      <c r="T38" s="8">
        <f>T19</f>
        <v>3123.76</v>
      </c>
      <c r="U38" s="9">
        <f>1/(30*1350)*T38</f>
        <v>7.712987654320988E-2</v>
      </c>
    </row>
    <row r="39" spans="2:21" ht="18" customHeight="1">
      <c r="C39" s="10" t="s">
        <v>2</v>
      </c>
      <c r="D39" s="4" t="s">
        <v>7</v>
      </c>
      <c r="E39" s="2">
        <f>E20</f>
        <v>2588.58</v>
      </c>
      <c r="F39" s="1">
        <f>(1/600)*E39</f>
        <v>4.3143000000000002</v>
      </c>
      <c r="J39" s="189"/>
      <c r="K39" s="7" t="s">
        <v>180</v>
      </c>
      <c r="L39" s="4" t="s">
        <v>157</v>
      </c>
      <c r="M39" s="19">
        <f>'Aux Limpeza 1200m'!C$169</f>
        <v>4430.1726398925121</v>
      </c>
      <c r="N39" s="1">
        <f>(1/2500)*M39</f>
        <v>1.7720690559570049</v>
      </c>
      <c r="R39" s="10" t="s">
        <v>2</v>
      </c>
      <c r="S39" s="4" t="s">
        <v>10</v>
      </c>
      <c r="T39" s="8">
        <f>T20</f>
        <v>2712.22</v>
      </c>
      <c r="U39" s="9">
        <f>(1/1350)*T39</f>
        <v>2.0090518518518516</v>
      </c>
    </row>
    <row r="40" spans="2:21" ht="18" customHeight="1">
      <c r="C40" s="193" t="s">
        <v>37</v>
      </c>
      <c r="D40" s="194"/>
      <c r="E40" s="195"/>
      <c r="F40" s="26">
        <f>SUM(F38:F39)</f>
        <v>4.4915111111111115</v>
      </c>
      <c r="J40" s="198" t="s">
        <v>37</v>
      </c>
      <c r="K40" s="198"/>
      <c r="L40" s="198"/>
      <c r="M40" s="198"/>
      <c r="N40" s="26">
        <f>SUM(N38:N39)</f>
        <v>1.8453117127067831</v>
      </c>
      <c r="R40" s="193" t="s">
        <v>37</v>
      </c>
      <c r="S40" s="194"/>
      <c r="T40" s="195"/>
      <c r="U40" s="11">
        <f>SUM(U38:U39)</f>
        <v>2.0861817283950614</v>
      </c>
    </row>
    <row r="42" spans="2:21" ht="18" customHeight="1">
      <c r="C42" s="81" t="s">
        <v>4</v>
      </c>
      <c r="D42" s="193" t="s">
        <v>12</v>
      </c>
      <c r="E42" s="194"/>
      <c r="F42" s="195"/>
      <c r="J42" s="198" t="s">
        <v>4</v>
      </c>
      <c r="K42" s="198"/>
      <c r="L42" s="193" t="s">
        <v>12</v>
      </c>
      <c r="M42" s="194"/>
      <c r="N42" s="195"/>
      <c r="R42" s="81" t="s">
        <v>4</v>
      </c>
      <c r="S42" s="193" t="s">
        <v>12</v>
      </c>
      <c r="T42" s="194"/>
      <c r="U42" s="195"/>
    </row>
    <row r="43" spans="2:21" ht="47.25">
      <c r="B43" s="2">
        <v>4</v>
      </c>
      <c r="C43" s="87" t="s">
        <v>0</v>
      </c>
      <c r="D43" s="86" t="s">
        <v>58</v>
      </c>
      <c r="E43" s="87" t="s">
        <v>1</v>
      </c>
      <c r="F43" s="87" t="s">
        <v>59</v>
      </c>
      <c r="J43" s="87" t="s">
        <v>81</v>
      </c>
      <c r="K43" s="87" t="s">
        <v>0</v>
      </c>
      <c r="L43" s="86" t="s">
        <v>58</v>
      </c>
      <c r="M43" s="87" t="s">
        <v>1</v>
      </c>
      <c r="N43" s="87" t="s">
        <v>59</v>
      </c>
      <c r="R43" s="87" t="s">
        <v>0</v>
      </c>
      <c r="S43" s="86" t="s">
        <v>58</v>
      </c>
      <c r="T43" s="87" t="s">
        <v>1</v>
      </c>
      <c r="U43" s="87" t="s">
        <v>59</v>
      </c>
    </row>
    <row r="44" spans="2:21" ht="18" customHeight="1">
      <c r="C44" s="7" t="s">
        <v>6</v>
      </c>
      <c r="D44" s="3" t="s">
        <v>30</v>
      </c>
      <c r="E44" s="8">
        <f>E38</f>
        <v>3189.8</v>
      </c>
      <c r="F44" s="1">
        <f>1/(30*600)*E44</f>
        <v>0.17721111111111112</v>
      </c>
      <c r="G44" s="14"/>
      <c r="J44" s="188" t="s">
        <v>83</v>
      </c>
      <c r="K44" s="7" t="s">
        <v>6</v>
      </c>
      <c r="L44" s="3" t="s">
        <v>158</v>
      </c>
      <c r="M44" s="1">
        <f>'Encarregado '!C$169</f>
        <v>5493.1992562333526</v>
      </c>
      <c r="N44" s="1">
        <f>1/(30*1800)*M44</f>
        <v>0.1017259121524695</v>
      </c>
      <c r="O44" s="14"/>
      <c r="R44" s="7" t="s">
        <v>6</v>
      </c>
      <c r="S44" s="3" t="s">
        <v>27</v>
      </c>
      <c r="T44" s="8">
        <f>T38</f>
        <v>3123.76</v>
      </c>
      <c r="U44" s="9">
        <f>1/(30*800)*T44</f>
        <v>0.13015666666666667</v>
      </c>
    </row>
    <row r="45" spans="2:21" ht="18" customHeight="1">
      <c r="C45" s="10" t="s">
        <v>2</v>
      </c>
      <c r="D45" s="4" t="s">
        <v>7</v>
      </c>
      <c r="E45" s="2">
        <f>E39</f>
        <v>2588.58</v>
      </c>
      <c r="F45" s="1">
        <f>(1/600)*E45</f>
        <v>4.3143000000000002</v>
      </c>
      <c r="J45" s="189"/>
      <c r="K45" s="7" t="s">
        <v>180</v>
      </c>
      <c r="L45" s="4" t="s">
        <v>85</v>
      </c>
      <c r="M45" s="19">
        <f>'Aux Limpeza 1200m'!C$169</f>
        <v>4430.1726398925121</v>
      </c>
      <c r="N45" s="1">
        <f>(1/1800)*M45</f>
        <v>2.4612070221625069</v>
      </c>
      <c r="R45" s="10" t="s">
        <v>2</v>
      </c>
      <c r="S45" s="4" t="s">
        <v>18</v>
      </c>
      <c r="T45" s="8">
        <f>T39</f>
        <v>2712.22</v>
      </c>
      <c r="U45" s="9">
        <f>(1/800)*T45</f>
        <v>3.3902749999999999</v>
      </c>
    </row>
    <row r="46" spans="2:21" ht="18" customHeight="1">
      <c r="C46" s="193" t="s">
        <v>37</v>
      </c>
      <c r="D46" s="194"/>
      <c r="E46" s="195"/>
      <c r="F46" s="26">
        <f>SUM(F44:F45)</f>
        <v>4.4915111111111115</v>
      </c>
      <c r="J46" s="198" t="s">
        <v>37</v>
      </c>
      <c r="K46" s="198"/>
      <c r="L46" s="198"/>
      <c r="M46" s="198"/>
      <c r="N46" s="26">
        <f>SUM(N44:N45)</f>
        <v>2.5629329343149765</v>
      </c>
      <c r="R46" s="193" t="s">
        <v>37</v>
      </c>
      <c r="S46" s="194"/>
      <c r="T46" s="195"/>
      <c r="U46" s="11">
        <f>SUM(U44:U45)</f>
        <v>3.5204316666666666</v>
      </c>
    </row>
    <row r="48" spans="2:21" ht="18" customHeight="1">
      <c r="C48" s="81" t="s">
        <v>4</v>
      </c>
      <c r="D48" s="193" t="s">
        <v>13</v>
      </c>
      <c r="E48" s="194"/>
      <c r="F48" s="195"/>
      <c r="J48" s="198" t="s">
        <v>4</v>
      </c>
      <c r="K48" s="198"/>
      <c r="L48" s="193" t="s">
        <v>13</v>
      </c>
      <c r="M48" s="194"/>
      <c r="N48" s="195"/>
      <c r="R48" s="81" t="s">
        <v>4</v>
      </c>
      <c r="S48" s="193" t="s">
        <v>13</v>
      </c>
      <c r="T48" s="194"/>
      <c r="U48" s="195"/>
    </row>
    <row r="49" spans="2:21" ht="47.25">
      <c r="B49" s="2">
        <v>5</v>
      </c>
      <c r="C49" s="87" t="s">
        <v>0</v>
      </c>
      <c r="D49" s="86" t="s">
        <v>58</v>
      </c>
      <c r="E49" s="87" t="s">
        <v>1</v>
      </c>
      <c r="F49" s="87" t="s">
        <v>59</v>
      </c>
      <c r="J49" s="87" t="s">
        <v>81</v>
      </c>
      <c r="K49" s="87" t="s">
        <v>0</v>
      </c>
      <c r="L49" s="86" t="s">
        <v>58</v>
      </c>
      <c r="M49" s="87" t="s">
        <v>1</v>
      </c>
      <c r="N49" s="87" t="s">
        <v>59</v>
      </c>
      <c r="R49" s="87" t="s">
        <v>0</v>
      </c>
      <c r="S49" s="86" t="s">
        <v>58</v>
      </c>
      <c r="T49" s="87" t="s">
        <v>1</v>
      </c>
      <c r="U49" s="87" t="s">
        <v>59</v>
      </c>
    </row>
    <row r="50" spans="2:21" ht="18" customHeight="1">
      <c r="C50" s="13" t="s">
        <v>6</v>
      </c>
      <c r="D50" s="3" t="s">
        <v>30</v>
      </c>
      <c r="E50" s="8">
        <f>E38</f>
        <v>3189.8</v>
      </c>
      <c r="F50" s="1">
        <f>1/(30*600)*E50</f>
        <v>0.17721111111111112</v>
      </c>
      <c r="J50" s="188" t="s">
        <v>104</v>
      </c>
      <c r="K50" s="7" t="s">
        <v>6</v>
      </c>
      <c r="L50" s="3" t="s">
        <v>132</v>
      </c>
      <c r="M50" s="1">
        <f>'Encarregado '!C$169</f>
        <v>5493.1992562333526</v>
      </c>
      <c r="N50" s="1">
        <f>1/(30*1500)*M50</f>
        <v>0.12207109458296339</v>
      </c>
      <c r="R50" s="13" t="s">
        <v>6</v>
      </c>
      <c r="S50" s="3" t="s">
        <v>26</v>
      </c>
      <c r="T50" s="8">
        <f>T44</f>
        <v>3123.76</v>
      </c>
      <c r="U50" s="9">
        <f>1/(30*400)*T50</f>
        <v>0.26031333333333334</v>
      </c>
    </row>
    <row r="51" spans="2:21" ht="18" customHeight="1">
      <c r="C51" s="10" t="s">
        <v>2</v>
      </c>
      <c r="D51" s="4" t="s">
        <v>7</v>
      </c>
      <c r="E51" s="2">
        <f>E45</f>
        <v>2588.58</v>
      </c>
      <c r="F51" s="1">
        <f>(1/600)*E51</f>
        <v>4.3143000000000002</v>
      </c>
      <c r="J51" s="189"/>
      <c r="K51" s="7" t="s">
        <v>180</v>
      </c>
      <c r="L51" s="4" t="s">
        <v>97</v>
      </c>
      <c r="M51" s="19">
        <f>'Aux Limpeza 1200m'!C$169</f>
        <v>4430.1726398925121</v>
      </c>
      <c r="N51" s="1">
        <f>(1/1500)*M51</f>
        <v>2.9534484265950081</v>
      </c>
      <c r="R51" s="10" t="s">
        <v>2</v>
      </c>
      <c r="S51" s="4" t="s">
        <v>14</v>
      </c>
      <c r="T51" s="8">
        <f>T45</f>
        <v>2712.22</v>
      </c>
      <c r="U51" s="9">
        <f>(1/400)*T51</f>
        <v>6.7805499999999999</v>
      </c>
    </row>
    <row r="52" spans="2:21" ht="18" customHeight="1">
      <c r="C52" s="193" t="s">
        <v>37</v>
      </c>
      <c r="D52" s="194"/>
      <c r="E52" s="195"/>
      <c r="F52" s="26">
        <f>SUM(F50:F51)</f>
        <v>4.4915111111111115</v>
      </c>
      <c r="J52" s="198" t="s">
        <v>37</v>
      </c>
      <c r="K52" s="198"/>
      <c r="L52" s="198"/>
      <c r="M52" s="198"/>
      <c r="N52" s="26">
        <f>SUM(N50:N51)</f>
        <v>3.0755195211779713</v>
      </c>
      <c r="R52" s="193" t="s">
        <v>37</v>
      </c>
      <c r="S52" s="194"/>
      <c r="T52" s="195"/>
      <c r="U52" s="11">
        <f>SUM(U50:U51)</f>
        <v>7.0408633333333333</v>
      </c>
    </row>
    <row r="53" spans="2:21" ht="18" customHeight="1">
      <c r="C53" s="27"/>
      <c r="D53" s="27"/>
      <c r="E53" s="27"/>
      <c r="F53" s="41"/>
      <c r="R53" s="27"/>
      <c r="S53" s="27"/>
      <c r="T53" s="27"/>
      <c r="U53" s="28"/>
    </row>
    <row r="54" spans="2:21" ht="18" customHeight="1">
      <c r="C54" s="27"/>
      <c r="D54" s="27"/>
      <c r="E54" s="27"/>
      <c r="F54" s="41"/>
      <c r="J54" s="198" t="s">
        <v>4</v>
      </c>
      <c r="K54" s="198"/>
      <c r="L54" s="193" t="s">
        <v>70</v>
      </c>
      <c r="M54" s="194"/>
      <c r="N54" s="195"/>
      <c r="R54" s="27"/>
      <c r="S54" s="27"/>
      <c r="T54" s="27"/>
      <c r="U54" s="28"/>
    </row>
    <row r="55" spans="2:21" ht="34.5" customHeight="1">
      <c r="C55" s="27"/>
      <c r="D55" s="27"/>
      <c r="E55" s="27"/>
      <c r="F55" s="41"/>
      <c r="J55" s="87" t="s">
        <v>81</v>
      </c>
      <c r="K55" s="87" t="s">
        <v>0</v>
      </c>
      <c r="L55" s="86" t="s">
        <v>58</v>
      </c>
      <c r="M55" s="87" t="s">
        <v>1</v>
      </c>
      <c r="N55" s="87" t="s">
        <v>59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41"/>
      <c r="J56" s="188" t="s">
        <v>99</v>
      </c>
      <c r="K56" s="7" t="s">
        <v>6</v>
      </c>
      <c r="L56" s="3" t="s">
        <v>135</v>
      </c>
      <c r="M56" s="1">
        <f>'Encarregado '!C$169</f>
        <v>5493.1992562333526</v>
      </c>
      <c r="N56" s="1">
        <f>1/(30*200)*M56</f>
        <v>0.91553320937222538</v>
      </c>
      <c r="O56" s="156" t="s">
        <v>456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41"/>
      <c r="J57" s="189"/>
      <c r="K57" s="7" t="s">
        <v>180</v>
      </c>
      <c r="L57" s="4" t="s">
        <v>100</v>
      </c>
      <c r="M57" s="19">
        <f>'Aux Limpeza 1200m'!C$169</f>
        <v>4430.1726398925121</v>
      </c>
      <c r="N57" s="1">
        <f>(1/200)*M57</f>
        <v>22.15086319946256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41"/>
      <c r="J58" s="198" t="s">
        <v>37</v>
      </c>
      <c r="K58" s="198"/>
      <c r="L58" s="198"/>
      <c r="M58" s="198"/>
      <c r="N58" s="26">
        <f>SUM(N56:N57)</f>
        <v>23.066396408834784</v>
      </c>
      <c r="R58" s="27"/>
      <c r="S58" s="27"/>
      <c r="T58" s="27"/>
      <c r="U58" s="28"/>
    </row>
    <row r="59" spans="2:21" ht="18" customHeight="1">
      <c r="C59" s="27"/>
      <c r="D59" s="27"/>
      <c r="E59" s="27"/>
      <c r="F59" s="41"/>
      <c r="R59" s="27"/>
      <c r="S59" s="27"/>
      <c r="T59" s="27"/>
      <c r="U59" s="28"/>
    </row>
    <row r="60" spans="2:21" ht="18" customHeight="1">
      <c r="C60" s="27"/>
      <c r="D60" s="27"/>
      <c r="E60" s="27"/>
      <c r="F60" s="41"/>
      <c r="J60" s="198" t="s">
        <v>4</v>
      </c>
      <c r="K60" s="198"/>
      <c r="L60" s="193" t="s">
        <v>109</v>
      </c>
      <c r="M60" s="194"/>
      <c r="N60" s="195"/>
      <c r="R60" s="27"/>
      <c r="S60" s="27"/>
      <c r="T60" s="27"/>
      <c r="U60" s="28"/>
    </row>
    <row r="61" spans="2:21" ht="45" customHeight="1">
      <c r="C61" s="27"/>
      <c r="D61" s="27"/>
      <c r="E61" s="27"/>
      <c r="F61" s="41"/>
      <c r="J61" s="87" t="s">
        <v>81</v>
      </c>
      <c r="K61" s="87" t="s">
        <v>0</v>
      </c>
      <c r="L61" s="86" t="s">
        <v>58</v>
      </c>
      <c r="M61" s="87" t="s">
        <v>1</v>
      </c>
      <c r="N61" s="87" t="s">
        <v>59</v>
      </c>
      <c r="R61" s="27"/>
      <c r="S61" s="27"/>
      <c r="T61" s="27"/>
      <c r="U61" s="28"/>
    </row>
    <row r="62" spans="2:21" ht="18" customHeight="1">
      <c r="C62" s="27"/>
      <c r="D62" s="27"/>
      <c r="E62" s="27"/>
      <c r="F62" s="41"/>
      <c r="J62" s="188" t="s">
        <v>99</v>
      </c>
      <c r="K62" s="7" t="s">
        <v>6</v>
      </c>
      <c r="L62" s="3" t="s">
        <v>135</v>
      </c>
      <c r="M62" s="1">
        <f>'Encarregado '!C$169</f>
        <v>5493.1992562333526</v>
      </c>
      <c r="N62" s="1">
        <f>1/(30*200)*M62</f>
        <v>0.91553320937222538</v>
      </c>
      <c r="O62" s="156" t="s">
        <v>456</v>
      </c>
      <c r="R62" s="27"/>
      <c r="S62" s="27"/>
      <c r="T62" s="27"/>
      <c r="U62" s="28"/>
    </row>
    <row r="63" spans="2:21" ht="18" customHeight="1">
      <c r="C63" s="27"/>
      <c r="D63" s="27"/>
      <c r="E63" s="27"/>
      <c r="F63" s="41"/>
      <c r="J63" s="189"/>
      <c r="K63" s="7" t="s">
        <v>180</v>
      </c>
      <c r="L63" s="4" t="s">
        <v>100</v>
      </c>
      <c r="M63" s="19">
        <f>'Aux Limpeza Ins 40% 1200m'!C169</f>
        <v>5615.584633347974</v>
      </c>
      <c r="N63" s="1">
        <f>(1/200)*M63</f>
        <v>28.077923166739872</v>
      </c>
      <c r="R63" s="27"/>
      <c r="S63" s="27"/>
      <c r="T63" s="27"/>
      <c r="U63" s="28"/>
    </row>
    <row r="64" spans="2:21" ht="18" customHeight="1">
      <c r="C64" s="27"/>
      <c r="D64" s="27"/>
      <c r="E64" s="27"/>
      <c r="F64" s="41"/>
      <c r="J64" s="198" t="s">
        <v>37</v>
      </c>
      <c r="K64" s="198"/>
      <c r="L64" s="198"/>
      <c r="M64" s="198"/>
      <c r="N64" s="26">
        <f>SUM(N62:N63)</f>
        <v>28.993456376112096</v>
      </c>
      <c r="R64" s="27"/>
      <c r="S64" s="27"/>
      <c r="T64" s="27"/>
      <c r="U64" s="28"/>
    </row>
    <row r="66" spans="2:21" ht="18" customHeight="1">
      <c r="C66" s="81" t="s">
        <v>17</v>
      </c>
      <c r="D66" s="193" t="s">
        <v>15</v>
      </c>
      <c r="E66" s="194"/>
      <c r="F66" s="195"/>
      <c r="J66" s="198" t="s">
        <v>17</v>
      </c>
      <c r="K66" s="198"/>
      <c r="L66" s="193" t="s">
        <v>15</v>
      </c>
      <c r="M66" s="194"/>
      <c r="N66" s="195"/>
      <c r="R66" s="81" t="s">
        <v>17</v>
      </c>
      <c r="S66" s="193" t="s">
        <v>15</v>
      </c>
      <c r="T66" s="194"/>
      <c r="U66" s="195"/>
    </row>
    <row r="67" spans="2:21" ht="47.25">
      <c r="B67" s="2">
        <v>6</v>
      </c>
      <c r="C67" s="87" t="s">
        <v>0</v>
      </c>
      <c r="D67" s="86" t="s">
        <v>58</v>
      </c>
      <c r="E67" s="87" t="s">
        <v>1</v>
      </c>
      <c r="F67" s="87" t="s">
        <v>59</v>
      </c>
      <c r="J67" s="87" t="s">
        <v>81</v>
      </c>
      <c r="K67" s="87" t="s">
        <v>0</v>
      </c>
      <c r="L67" s="86" t="s">
        <v>58</v>
      </c>
      <c r="M67" s="87" t="s">
        <v>1</v>
      </c>
      <c r="N67" s="87" t="s">
        <v>59</v>
      </c>
      <c r="R67" s="87" t="s">
        <v>0</v>
      </c>
      <c r="S67" s="86" t="s">
        <v>58</v>
      </c>
      <c r="T67" s="87" t="s">
        <v>1</v>
      </c>
      <c r="U67" s="87" t="s">
        <v>59</v>
      </c>
    </row>
    <row r="68" spans="2:21" ht="18" customHeight="1">
      <c r="C68" s="7" t="s">
        <v>6</v>
      </c>
      <c r="D68" s="3" t="s">
        <v>24</v>
      </c>
      <c r="E68" s="8">
        <f>E50</f>
        <v>3189.8</v>
      </c>
      <c r="F68" s="9">
        <f>1/(30*1200)*E68</f>
        <v>8.8605555555555562E-2</v>
      </c>
      <c r="J68" s="188" t="s">
        <v>159</v>
      </c>
      <c r="K68" s="7" t="s">
        <v>6</v>
      </c>
      <c r="L68" s="3" t="s">
        <v>160</v>
      </c>
      <c r="M68" s="1">
        <f>'Encarregado '!C$169</f>
        <v>5493.1992562333526</v>
      </c>
      <c r="N68" s="9">
        <f>1/(30*2700)*M68</f>
        <v>6.7817274768312993E-2</v>
      </c>
      <c r="R68" s="7" t="s">
        <v>6</v>
      </c>
      <c r="S68" s="3" t="s">
        <v>24</v>
      </c>
      <c r="T68" s="8">
        <f>T50</f>
        <v>3123.76</v>
      </c>
      <c r="U68" s="9">
        <f>1/(30*1200)*T68</f>
        <v>8.6771111111111118E-2</v>
      </c>
    </row>
    <row r="69" spans="2:21" ht="18" customHeight="1">
      <c r="C69" s="10" t="s">
        <v>2</v>
      </c>
      <c r="D69" s="4" t="s">
        <v>19</v>
      </c>
      <c r="E69" s="2">
        <f>E51</f>
        <v>2588.58</v>
      </c>
      <c r="F69" s="9">
        <f>(1/1200)*E69</f>
        <v>2.1571500000000001</v>
      </c>
      <c r="J69" s="189"/>
      <c r="K69" s="7" t="s">
        <v>180</v>
      </c>
      <c r="L69" s="4" t="s">
        <v>161</v>
      </c>
      <c r="M69" s="19">
        <f>'Aux Limpeza 1200m'!C$169</f>
        <v>4430.1726398925121</v>
      </c>
      <c r="N69" s="9">
        <f>(1/2700)*M69</f>
        <v>1.640804681441671</v>
      </c>
      <c r="R69" s="10" t="s">
        <v>2</v>
      </c>
      <c r="S69" s="4" t="s">
        <v>19</v>
      </c>
      <c r="T69" s="8">
        <f>T51</f>
        <v>2712.22</v>
      </c>
      <c r="U69" s="9">
        <f>(1/1200)*T69</f>
        <v>2.2601833333333334</v>
      </c>
    </row>
    <row r="70" spans="2:21" ht="18" customHeight="1">
      <c r="C70" s="81" t="s">
        <v>37</v>
      </c>
      <c r="D70" s="82"/>
      <c r="E70" s="83"/>
      <c r="F70" s="26">
        <f>SUM(F68:F69)</f>
        <v>2.2457555555555557</v>
      </c>
      <c r="J70" s="198" t="s">
        <v>37</v>
      </c>
      <c r="K70" s="198"/>
      <c r="L70" s="198"/>
      <c r="M70" s="198"/>
      <c r="N70" s="26">
        <f>SUM(N68:N69)</f>
        <v>1.708621956209984</v>
      </c>
      <c r="R70" s="193" t="s">
        <v>37</v>
      </c>
      <c r="S70" s="194"/>
      <c r="T70" s="195"/>
      <c r="U70" s="11">
        <f>SUM(U68:U69)</f>
        <v>2.3469544444444446</v>
      </c>
    </row>
    <row r="72" spans="2:21" ht="18" customHeight="1">
      <c r="C72" s="81" t="s">
        <v>17</v>
      </c>
      <c r="D72" s="193" t="s">
        <v>16</v>
      </c>
      <c r="E72" s="194"/>
      <c r="F72" s="195"/>
      <c r="J72" s="198" t="s">
        <v>17</v>
      </c>
      <c r="K72" s="198"/>
      <c r="L72" s="193" t="s">
        <v>16</v>
      </c>
      <c r="M72" s="194"/>
      <c r="N72" s="195"/>
      <c r="R72" s="81" t="s">
        <v>17</v>
      </c>
      <c r="S72" s="193" t="s">
        <v>16</v>
      </c>
      <c r="T72" s="194"/>
      <c r="U72" s="195"/>
    </row>
    <row r="73" spans="2:21" ht="47.25">
      <c r="B73" s="2">
        <v>7</v>
      </c>
      <c r="C73" s="87" t="s">
        <v>0</v>
      </c>
      <c r="D73" s="86" t="s">
        <v>58</v>
      </c>
      <c r="E73" s="87" t="s">
        <v>1</v>
      </c>
      <c r="F73" s="87" t="s">
        <v>59</v>
      </c>
      <c r="J73" s="87" t="s">
        <v>81</v>
      </c>
      <c r="K73" s="87" t="s">
        <v>0</v>
      </c>
      <c r="L73" s="86" t="s">
        <v>58</v>
      </c>
      <c r="M73" s="87" t="s">
        <v>1</v>
      </c>
      <c r="N73" s="87" t="s">
        <v>59</v>
      </c>
      <c r="R73" s="87" t="s">
        <v>0</v>
      </c>
      <c r="S73" s="86" t="s">
        <v>58</v>
      </c>
      <c r="T73" s="87" t="s">
        <v>1</v>
      </c>
      <c r="U73" s="87" t="s">
        <v>59</v>
      </c>
    </row>
    <row r="74" spans="2:21" ht="18" customHeight="1">
      <c r="C74" s="7" t="s">
        <v>6</v>
      </c>
      <c r="D74" s="3" t="s">
        <v>25</v>
      </c>
      <c r="E74" s="8">
        <f>E68</f>
        <v>3189.8</v>
      </c>
      <c r="F74" s="1">
        <f>1/(30*1200)*E74</f>
        <v>8.8605555555555562E-2</v>
      </c>
      <c r="J74" s="188" t="s">
        <v>162</v>
      </c>
      <c r="K74" s="7" t="s">
        <v>6</v>
      </c>
      <c r="L74" s="3" t="s">
        <v>163</v>
      </c>
      <c r="M74" s="1">
        <f>'Encarregado '!C$169</f>
        <v>5493.1992562333526</v>
      </c>
      <c r="N74" s="1">
        <f>1/(30*9000)*M74</f>
        <v>2.0345182430493897E-2</v>
      </c>
      <c r="R74" s="7" t="s">
        <v>6</v>
      </c>
      <c r="S74" s="3" t="s">
        <v>25</v>
      </c>
      <c r="T74" s="8">
        <f>T68</f>
        <v>3123.76</v>
      </c>
      <c r="U74" s="9">
        <f>1/(30*1200)*T74</f>
        <v>8.6771111111111118E-2</v>
      </c>
    </row>
    <row r="75" spans="2:21" ht="18" customHeight="1">
      <c r="C75" s="10" t="s">
        <v>2</v>
      </c>
      <c r="D75" s="4" t="s">
        <v>19</v>
      </c>
      <c r="E75" s="2">
        <f>E69</f>
        <v>2588.58</v>
      </c>
      <c r="F75" s="1">
        <f>(1/1200)*E75</f>
        <v>2.1571500000000001</v>
      </c>
      <c r="J75" s="189"/>
      <c r="K75" s="7" t="s">
        <v>180</v>
      </c>
      <c r="L75" s="4" t="s">
        <v>164</v>
      </c>
      <c r="M75" s="19">
        <f>'Aux Limpeza 1200m'!C$169</f>
        <v>4430.1726398925121</v>
      </c>
      <c r="N75" s="1">
        <f>(1/9000)*M75</f>
        <v>0.49224140443250136</v>
      </c>
      <c r="R75" s="10" t="s">
        <v>2</v>
      </c>
      <c r="S75" s="4" t="s">
        <v>19</v>
      </c>
      <c r="T75" s="8">
        <f>T69</f>
        <v>2712.22</v>
      </c>
      <c r="U75" s="9">
        <f>(1/1200)*T75</f>
        <v>2.2601833333333334</v>
      </c>
    </row>
    <row r="76" spans="2:21" ht="18" customHeight="1">
      <c r="C76" s="193" t="s">
        <v>37</v>
      </c>
      <c r="D76" s="194"/>
      <c r="E76" s="195"/>
      <c r="F76" s="26">
        <f>SUM(F74:F75)</f>
        <v>2.2457555555555557</v>
      </c>
      <c r="J76" s="198" t="s">
        <v>37</v>
      </c>
      <c r="K76" s="198"/>
      <c r="L76" s="198"/>
      <c r="M76" s="198"/>
      <c r="N76" s="26">
        <f>SUM(N74:N75)</f>
        <v>0.5125865868629953</v>
      </c>
      <c r="R76" s="193" t="s">
        <v>37</v>
      </c>
      <c r="S76" s="194"/>
      <c r="T76" s="195"/>
      <c r="U76" s="11">
        <f>SUM(U74:U75)</f>
        <v>2.3469544444444446</v>
      </c>
    </row>
    <row r="78" spans="2:21" ht="18" customHeight="1">
      <c r="C78" s="81" t="s">
        <v>17</v>
      </c>
      <c r="D78" s="193" t="s">
        <v>20</v>
      </c>
      <c r="E78" s="194"/>
      <c r="F78" s="195"/>
      <c r="J78" s="198" t="s">
        <v>17</v>
      </c>
      <c r="K78" s="198"/>
      <c r="L78" s="193" t="s">
        <v>20</v>
      </c>
      <c r="M78" s="194"/>
      <c r="N78" s="195"/>
      <c r="R78" s="81" t="s">
        <v>17</v>
      </c>
      <c r="S78" s="193" t="s">
        <v>20</v>
      </c>
      <c r="T78" s="194"/>
      <c r="U78" s="195"/>
    </row>
    <row r="79" spans="2:21" ht="47.25">
      <c r="B79" s="2">
        <v>8</v>
      </c>
      <c r="C79" s="87" t="s">
        <v>0</v>
      </c>
      <c r="D79" s="86" t="s">
        <v>58</v>
      </c>
      <c r="E79" s="87" t="s">
        <v>1</v>
      </c>
      <c r="F79" s="87" t="s">
        <v>59</v>
      </c>
      <c r="J79" s="87" t="s">
        <v>81</v>
      </c>
      <c r="K79" s="87" t="s">
        <v>0</v>
      </c>
      <c r="L79" s="86" t="s">
        <v>58</v>
      </c>
      <c r="M79" s="87" t="s">
        <v>1</v>
      </c>
      <c r="N79" s="87" t="s">
        <v>59</v>
      </c>
      <c r="R79" s="87" t="s">
        <v>0</v>
      </c>
      <c r="S79" s="86" t="s">
        <v>58</v>
      </c>
      <c r="T79" s="87" t="s">
        <v>1</v>
      </c>
      <c r="U79" s="87" t="s">
        <v>59</v>
      </c>
    </row>
    <row r="80" spans="2:21" ht="18" customHeight="1">
      <c r="C80" s="7" t="s">
        <v>6</v>
      </c>
      <c r="D80" s="3" t="s">
        <v>24</v>
      </c>
      <c r="E80" s="8">
        <f>E74</f>
        <v>3189.8</v>
      </c>
      <c r="F80" s="1">
        <f>1/(30*1200)*E80</f>
        <v>8.8605555555555562E-2</v>
      </c>
      <c r="J80" s="188" t="s">
        <v>159</v>
      </c>
      <c r="K80" s="7" t="s">
        <v>6</v>
      </c>
      <c r="L80" s="3" t="s">
        <v>160</v>
      </c>
      <c r="M80" s="1">
        <f>'Encarregado '!C$169</f>
        <v>5493.1992562333526</v>
      </c>
      <c r="N80" s="1">
        <f>1/(30*2700)*M80</f>
        <v>6.7817274768312993E-2</v>
      </c>
      <c r="R80" s="7" t="s">
        <v>6</v>
      </c>
      <c r="S80" s="3" t="s">
        <v>24</v>
      </c>
      <c r="T80" s="8">
        <f>T74</f>
        <v>3123.76</v>
      </c>
      <c r="U80" s="9">
        <f>1/(30*1200)*T80</f>
        <v>8.6771111111111118E-2</v>
      </c>
    </row>
    <row r="81" spans="2:23" ht="18" customHeight="1">
      <c r="C81" s="10" t="s">
        <v>2</v>
      </c>
      <c r="D81" s="4" t="s">
        <v>19</v>
      </c>
      <c r="E81" s="2">
        <f>E75</f>
        <v>2588.58</v>
      </c>
      <c r="F81" s="1">
        <f>(1/1200)*E81</f>
        <v>2.1571500000000001</v>
      </c>
      <c r="J81" s="189"/>
      <c r="K81" s="7" t="s">
        <v>180</v>
      </c>
      <c r="L81" s="4" t="s">
        <v>161</v>
      </c>
      <c r="M81" s="19">
        <f>'Aux Limpeza 1200m'!C$169</f>
        <v>4430.1726398925121</v>
      </c>
      <c r="N81" s="1">
        <f>(1/2700)*M81</f>
        <v>1.640804681441671</v>
      </c>
      <c r="R81" s="10" t="s">
        <v>2</v>
      </c>
      <c r="S81" s="4" t="s">
        <v>19</v>
      </c>
      <c r="T81" s="8">
        <f>T75</f>
        <v>2712.22</v>
      </c>
      <c r="U81" s="9">
        <f>(1/1200)*T81</f>
        <v>2.2601833333333334</v>
      </c>
    </row>
    <row r="82" spans="2:23" ht="18" customHeight="1">
      <c r="C82" s="193" t="s">
        <v>37</v>
      </c>
      <c r="D82" s="194"/>
      <c r="E82" s="195"/>
      <c r="F82" s="26">
        <f>SUM(F80:F81)</f>
        <v>2.2457555555555557</v>
      </c>
      <c r="J82" s="198" t="s">
        <v>37</v>
      </c>
      <c r="K82" s="198"/>
      <c r="L82" s="198"/>
      <c r="M82" s="198"/>
      <c r="N82" s="26">
        <f>SUM(N80:N81)</f>
        <v>1.708621956209984</v>
      </c>
      <c r="R82" s="193" t="s">
        <v>37</v>
      </c>
      <c r="S82" s="194"/>
      <c r="T82" s="195"/>
      <c r="U82" s="11">
        <f>SUM(U80:U81)</f>
        <v>2.3469544444444446</v>
      </c>
    </row>
    <row r="83" spans="2:23" ht="18" customHeight="1">
      <c r="C83" s="14"/>
      <c r="D83" s="14"/>
      <c r="E83" s="14"/>
      <c r="F83" s="15"/>
      <c r="K83" s="14"/>
      <c r="L83" s="14"/>
      <c r="M83" s="14"/>
      <c r="N83" s="15"/>
      <c r="R83" s="14"/>
      <c r="S83" s="14"/>
      <c r="T83" s="14"/>
      <c r="U83" s="15"/>
    </row>
    <row r="84" spans="2:23" ht="18" customHeight="1">
      <c r="B84" s="81" t="s">
        <v>17</v>
      </c>
      <c r="C84" s="193" t="s">
        <v>21</v>
      </c>
      <c r="D84" s="218"/>
      <c r="E84" s="218"/>
      <c r="F84" s="218"/>
      <c r="G84" s="218"/>
      <c r="H84" s="219"/>
      <c r="I84" s="198" t="s">
        <v>17</v>
      </c>
      <c r="J84" s="198"/>
      <c r="K84" s="193" t="s">
        <v>21</v>
      </c>
      <c r="L84" s="218"/>
      <c r="M84" s="218"/>
      <c r="N84" s="218"/>
      <c r="O84" s="218"/>
      <c r="P84" s="219"/>
      <c r="Q84" s="81" t="s">
        <v>17</v>
      </c>
      <c r="R84" s="193" t="s">
        <v>21</v>
      </c>
      <c r="S84" s="218"/>
      <c r="T84" s="218"/>
      <c r="U84" s="218"/>
      <c r="V84" s="218"/>
      <c r="W84" s="219"/>
    </row>
    <row r="85" spans="2:23" ht="47.25">
      <c r="B85" s="87" t="s">
        <v>0</v>
      </c>
      <c r="C85" s="86" t="s">
        <v>58</v>
      </c>
      <c r="D85" s="87" t="s">
        <v>33</v>
      </c>
      <c r="E85" s="87" t="s">
        <v>34</v>
      </c>
      <c r="F85" s="87" t="s">
        <v>35</v>
      </c>
      <c r="G85" s="87" t="s">
        <v>60</v>
      </c>
      <c r="H85" s="87" t="s">
        <v>61</v>
      </c>
      <c r="I85" s="87" t="s">
        <v>81</v>
      </c>
      <c r="J85" s="87" t="s">
        <v>0</v>
      </c>
      <c r="K85" s="86" t="s">
        <v>58</v>
      </c>
      <c r="L85" s="87" t="s">
        <v>33</v>
      </c>
      <c r="M85" s="87" t="s">
        <v>34</v>
      </c>
      <c r="N85" s="87" t="s">
        <v>35</v>
      </c>
      <c r="O85" s="87" t="s">
        <v>60</v>
      </c>
      <c r="P85" s="87" t="s">
        <v>61</v>
      </c>
      <c r="Q85" s="87" t="s">
        <v>0</v>
      </c>
      <c r="R85" s="86" t="s">
        <v>58</v>
      </c>
      <c r="S85" s="87" t="s">
        <v>33</v>
      </c>
      <c r="T85" s="87" t="s">
        <v>34</v>
      </c>
      <c r="U85" s="87" t="s">
        <v>35</v>
      </c>
      <c r="V85" s="87" t="s">
        <v>60</v>
      </c>
      <c r="W85" s="87" t="s">
        <v>61</v>
      </c>
    </row>
    <row r="86" spans="2:23" ht="18" customHeight="1">
      <c r="B86" s="7" t="s">
        <v>6</v>
      </c>
      <c r="C86" s="3" t="s">
        <v>31</v>
      </c>
      <c r="D86" s="16">
        <v>16</v>
      </c>
      <c r="E86" s="76" t="s">
        <v>38</v>
      </c>
      <c r="F86" s="17">
        <f>(1/(30*220))*D86*(1/191.4)</f>
        <v>1.2665843386846523E-5</v>
      </c>
      <c r="G86" s="8">
        <f>E80</f>
        <v>3189.8</v>
      </c>
      <c r="H86" s="9">
        <f>F86*G86</f>
        <v>4.0401507235363038E-2</v>
      </c>
      <c r="I86" s="188" t="s">
        <v>165</v>
      </c>
      <c r="J86" s="7" t="s">
        <v>6</v>
      </c>
      <c r="K86" s="3" t="s">
        <v>166</v>
      </c>
      <c r="L86" s="16">
        <v>8</v>
      </c>
      <c r="M86" s="76" t="s">
        <v>92</v>
      </c>
      <c r="N86" s="17">
        <f>(1/(4*160))*L86*(1/1132.6)</f>
        <v>1.1036553063747132E-5</v>
      </c>
      <c r="O86" s="1">
        <f>'Encarregado '!C$169</f>
        <v>5493.1992562333526</v>
      </c>
      <c r="P86" s="9">
        <f>N86*O86</f>
        <v>6.0625985081155673E-2</v>
      </c>
      <c r="Q86" s="7" t="s">
        <v>6</v>
      </c>
      <c r="R86" s="3" t="s">
        <v>23</v>
      </c>
      <c r="S86" s="16">
        <v>16</v>
      </c>
      <c r="T86" s="76" t="s">
        <v>38</v>
      </c>
      <c r="U86" s="17">
        <f>(1/(30*110))*S86*(1/191.4)</f>
        <v>2.5331686773693045E-5</v>
      </c>
      <c r="V86" s="16">
        <f>T80</f>
        <v>3123.76</v>
      </c>
      <c r="W86" s="9">
        <f>U86*V86</f>
        <v>7.9130109876191387E-2</v>
      </c>
    </row>
    <row r="87" spans="2:23" ht="18" customHeight="1">
      <c r="B87" s="10" t="s">
        <v>2</v>
      </c>
      <c r="C87" s="4" t="s">
        <v>32</v>
      </c>
      <c r="D87" s="76">
        <v>16</v>
      </c>
      <c r="E87" s="76" t="s">
        <v>38</v>
      </c>
      <c r="F87" s="17">
        <f>(1/220)*D87*(1/191.4)</f>
        <v>3.7997530160539561E-4</v>
      </c>
      <c r="G87" s="2">
        <f>E81</f>
        <v>2588.58</v>
      </c>
      <c r="H87" s="9">
        <f>F87*G87</f>
        <v>0.98359646622969499</v>
      </c>
      <c r="I87" s="189"/>
      <c r="J87" s="7" t="s">
        <v>180</v>
      </c>
      <c r="K87" s="42" t="s">
        <v>167</v>
      </c>
      <c r="L87" s="77">
        <v>8</v>
      </c>
      <c r="M87" s="76" t="s">
        <v>92</v>
      </c>
      <c r="N87" s="44">
        <f>(1/160)*L87*(1/1132.6)</f>
        <v>4.4146212254988529E-5</v>
      </c>
      <c r="O87" s="19">
        <f>'Aux Limpeza 1200m'!C$169</f>
        <v>4430.1726398925121</v>
      </c>
      <c r="P87" s="9">
        <f>N87*O87</f>
        <v>0.19557534168693769</v>
      </c>
      <c r="Q87" s="10" t="s">
        <v>2</v>
      </c>
      <c r="R87" s="4" t="s">
        <v>22</v>
      </c>
      <c r="S87" s="16">
        <v>16</v>
      </c>
      <c r="T87" s="76" t="s">
        <v>38</v>
      </c>
      <c r="U87" s="17">
        <f>(1/110)*S87*(1/191.4)</f>
        <v>7.5995060321079123E-4</v>
      </c>
      <c r="V87" s="8">
        <f>T81</f>
        <v>2712.22</v>
      </c>
      <c r="W87" s="9">
        <f>U87*V87</f>
        <v>2.0611532250403721</v>
      </c>
    </row>
    <row r="88" spans="2:23" ht="18" customHeight="1">
      <c r="B88" s="193" t="s">
        <v>37</v>
      </c>
      <c r="C88" s="194"/>
      <c r="D88" s="194"/>
      <c r="E88" s="194"/>
      <c r="F88" s="194"/>
      <c r="G88" s="195"/>
      <c r="H88" s="26">
        <f>SUM(H86:H87)</f>
        <v>1.0239979734650579</v>
      </c>
      <c r="I88" s="198" t="s">
        <v>37</v>
      </c>
      <c r="J88" s="198"/>
      <c r="K88" s="198"/>
      <c r="L88" s="198"/>
      <c r="M88" s="198"/>
      <c r="N88" s="198"/>
      <c r="O88" s="198"/>
      <c r="P88" s="26">
        <f>SUM(P86:P87)</f>
        <v>0.25620132676809337</v>
      </c>
      <c r="Q88" s="193" t="s">
        <v>37</v>
      </c>
      <c r="R88" s="194"/>
      <c r="S88" s="194"/>
      <c r="T88" s="194"/>
      <c r="U88" s="194"/>
      <c r="V88" s="195"/>
      <c r="W88" s="11">
        <f>SUM(W86:W87)</f>
        <v>2.1402833349165635</v>
      </c>
    </row>
    <row r="90" spans="2:23" ht="18" customHeight="1">
      <c r="B90" s="81" t="s">
        <v>17</v>
      </c>
      <c r="C90" s="193" t="s">
        <v>52</v>
      </c>
      <c r="D90" s="194"/>
      <c r="E90" s="194"/>
      <c r="F90" s="194"/>
      <c r="G90" s="194"/>
      <c r="H90" s="195"/>
      <c r="I90" s="198" t="s">
        <v>17</v>
      </c>
      <c r="J90" s="198"/>
      <c r="K90" s="193" t="s">
        <v>52</v>
      </c>
      <c r="L90" s="194"/>
      <c r="M90" s="194"/>
      <c r="N90" s="194"/>
      <c r="O90" s="194"/>
      <c r="P90" s="195"/>
      <c r="Q90" s="81" t="s">
        <v>17</v>
      </c>
      <c r="R90" s="193" t="s">
        <v>52</v>
      </c>
      <c r="S90" s="194"/>
      <c r="T90" s="194"/>
      <c r="U90" s="194"/>
      <c r="V90" s="194"/>
      <c r="W90" s="195"/>
    </row>
    <row r="91" spans="2:23" ht="47.25">
      <c r="B91" s="87" t="s">
        <v>0</v>
      </c>
      <c r="C91" s="86" t="s">
        <v>58</v>
      </c>
      <c r="D91" s="87" t="s">
        <v>33</v>
      </c>
      <c r="E91" s="87" t="s">
        <v>34</v>
      </c>
      <c r="F91" s="87" t="s">
        <v>35</v>
      </c>
      <c r="G91" s="87" t="s">
        <v>60</v>
      </c>
      <c r="H91" s="87" t="s">
        <v>61</v>
      </c>
      <c r="I91" s="87" t="s">
        <v>81</v>
      </c>
      <c r="J91" s="87" t="s">
        <v>0</v>
      </c>
      <c r="K91" s="86" t="s">
        <v>58</v>
      </c>
      <c r="L91" s="87" t="s">
        <v>33</v>
      </c>
      <c r="M91" s="87" t="s">
        <v>34</v>
      </c>
      <c r="N91" s="87" t="s">
        <v>35</v>
      </c>
      <c r="O91" s="87" t="s">
        <v>60</v>
      </c>
      <c r="P91" s="87" t="s">
        <v>61</v>
      </c>
      <c r="Q91" s="87" t="s">
        <v>0</v>
      </c>
      <c r="R91" s="86" t="s">
        <v>58</v>
      </c>
      <c r="S91" s="87" t="s">
        <v>33</v>
      </c>
      <c r="T91" s="87" t="s">
        <v>34</v>
      </c>
      <c r="U91" s="87" t="s">
        <v>35</v>
      </c>
      <c r="V91" s="87" t="s">
        <v>60</v>
      </c>
      <c r="W91" s="87" t="s">
        <v>61</v>
      </c>
    </row>
    <row r="92" spans="2:23">
      <c r="B92" s="7" t="s">
        <v>6</v>
      </c>
      <c r="C92" s="3" t="s">
        <v>31</v>
      </c>
      <c r="D92" s="16">
        <v>16</v>
      </c>
      <c r="E92" s="76" t="s">
        <v>38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188" t="s">
        <v>168</v>
      </c>
      <c r="J92" s="7" t="s">
        <v>6</v>
      </c>
      <c r="K92" s="3" t="s">
        <v>169</v>
      </c>
      <c r="L92" s="16">
        <v>16</v>
      </c>
      <c r="M92" s="76" t="s">
        <v>91</v>
      </c>
      <c r="N92" s="17">
        <f>(1/(30*380))*L92*(1/188.76)</f>
        <v>7.4354141339787274E-6</v>
      </c>
      <c r="O92" s="1">
        <f>'Encarregado '!C$169</f>
        <v>5493.1992562333526</v>
      </c>
      <c r="P92" s="9">
        <f>N92*O92</f>
        <v>4.0844211390558903E-2</v>
      </c>
      <c r="Q92" s="7" t="s">
        <v>6</v>
      </c>
      <c r="R92" s="3" t="s">
        <v>31</v>
      </c>
      <c r="S92" s="16">
        <v>16</v>
      </c>
      <c r="T92" s="76" t="s">
        <v>38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3">
      <c r="B93" s="10" t="s">
        <v>2</v>
      </c>
      <c r="C93" s="4" t="s">
        <v>32</v>
      </c>
      <c r="D93" s="76">
        <v>16</v>
      </c>
      <c r="E93" s="76" t="s">
        <v>38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189"/>
      <c r="J93" s="7" t="s">
        <v>180</v>
      </c>
      <c r="K93" s="42" t="s">
        <v>170</v>
      </c>
      <c r="L93" s="77">
        <v>16</v>
      </c>
      <c r="M93" s="76" t="s">
        <v>91</v>
      </c>
      <c r="N93" s="44">
        <f>(1/380)*L93*(1/188.76)</f>
        <v>2.2306242401936183E-4</v>
      </c>
      <c r="O93" s="19">
        <f>'Aux Limpeza 1200m'!C$169</f>
        <v>4430.1726398925121</v>
      </c>
      <c r="P93" s="9">
        <f>N93*O93</f>
        <v>0.98820504787867913</v>
      </c>
      <c r="Q93" s="10" t="s">
        <v>2</v>
      </c>
      <c r="R93" s="4" t="s">
        <v>32</v>
      </c>
      <c r="S93" s="16">
        <v>16</v>
      </c>
      <c r="T93" s="76" t="s">
        <v>38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3">
      <c r="B94" s="193" t="s">
        <v>37</v>
      </c>
      <c r="C94" s="194"/>
      <c r="D94" s="194"/>
      <c r="E94" s="194"/>
      <c r="F94" s="194"/>
      <c r="G94" s="195"/>
      <c r="H94" s="26">
        <f>SUM(H92:H93)</f>
        <v>1.0239979734650579</v>
      </c>
      <c r="I94" s="198" t="s">
        <v>37</v>
      </c>
      <c r="J94" s="198"/>
      <c r="K94" s="198"/>
      <c r="L94" s="198"/>
      <c r="M94" s="198"/>
      <c r="N94" s="198"/>
      <c r="O94" s="198"/>
      <c r="P94" s="26">
        <f>SUM(P92:P93)</f>
        <v>1.029049259269238</v>
      </c>
      <c r="Q94" s="193" t="s">
        <v>37</v>
      </c>
      <c r="R94" s="194"/>
      <c r="S94" s="194"/>
      <c r="T94" s="194"/>
      <c r="U94" s="194"/>
      <c r="V94" s="195"/>
      <c r="W94" s="11">
        <f>SUM(W92:W93)</f>
        <v>1.0701416674582818</v>
      </c>
    </row>
    <row r="95" spans="2:23">
      <c r="B95" s="14"/>
      <c r="C95" s="14"/>
      <c r="D95" s="14"/>
      <c r="E95" s="14"/>
      <c r="F95" s="14"/>
      <c r="G95" s="14"/>
      <c r="H95" s="15"/>
      <c r="I95" s="15"/>
      <c r="J95" s="14"/>
      <c r="K95" s="14"/>
      <c r="L95" s="14"/>
      <c r="M95" s="14"/>
      <c r="N95" s="14"/>
      <c r="O95" s="14"/>
      <c r="P95" s="15"/>
      <c r="Q95" s="14"/>
      <c r="R95" s="14"/>
      <c r="S95" s="14"/>
      <c r="T95" s="14"/>
      <c r="U95" s="14"/>
      <c r="V95" s="14"/>
      <c r="W95" s="15"/>
    </row>
    <row r="96" spans="2:23">
      <c r="B96" s="81" t="s">
        <v>17</v>
      </c>
      <c r="C96" s="193" t="s">
        <v>51</v>
      </c>
      <c r="D96" s="194"/>
      <c r="E96" s="194"/>
      <c r="F96" s="194"/>
      <c r="G96" s="194"/>
      <c r="H96" s="195"/>
      <c r="I96" s="198" t="s">
        <v>17</v>
      </c>
      <c r="J96" s="198"/>
      <c r="K96" s="193" t="s">
        <v>51</v>
      </c>
      <c r="L96" s="194"/>
      <c r="M96" s="194"/>
      <c r="N96" s="194"/>
      <c r="O96" s="194"/>
      <c r="P96" s="195"/>
      <c r="Q96" s="81" t="s">
        <v>17</v>
      </c>
      <c r="R96" s="193" t="s">
        <v>51</v>
      </c>
      <c r="S96" s="194"/>
      <c r="T96" s="194"/>
      <c r="U96" s="194"/>
      <c r="V96" s="194"/>
      <c r="W96" s="195"/>
    </row>
    <row r="97" spans="2:24" ht="47.25">
      <c r="B97" s="87" t="s">
        <v>0</v>
      </c>
      <c r="C97" s="86" t="s">
        <v>58</v>
      </c>
      <c r="D97" s="87" t="s">
        <v>33</v>
      </c>
      <c r="E97" s="87" t="s">
        <v>34</v>
      </c>
      <c r="F97" s="87" t="s">
        <v>35</v>
      </c>
      <c r="G97" s="87" t="s">
        <v>60</v>
      </c>
      <c r="H97" s="87" t="s">
        <v>61</v>
      </c>
      <c r="I97" s="87" t="s">
        <v>81</v>
      </c>
      <c r="J97" s="87" t="s">
        <v>0</v>
      </c>
      <c r="K97" s="86" t="s">
        <v>58</v>
      </c>
      <c r="L97" s="87" t="s">
        <v>33</v>
      </c>
      <c r="M97" s="87" t="s">
        <v>34</v>
      </c>
      <c r="N97" s="87" t="s">
        <v>35</v>
      </c>
      <c r="O97" s="87" t="s">
        <v>60</v>
      </c>
      <c r="P97" s="87" t="s">
        <v>61</v>
      </c>
      <c r="Q97" s="87" t="s">
        <v>0</v>
      </c>
      <c r="R97" s="86" t="s">
        <v>58</v>
      </c>
      <c r="S97" s="87" t="s">
        <v>33</v>
      </c>
      <c r="T97" s="87" t="s">
        <v>34</v>
      </c>
      <c r="U97" s="87" t="s">
        <v>35</v>
      </c>
      <c r="V97" s="87" t="s">
        <v>60</v>
      </c>
      <c r="W97" s="87" t="s">
        <v>61</v>
      </c>
    </row>
    <row r="98" spans="2:24">
      <c r="B98" s="7" t="s">
        <v>6</v>
      </c>
      <c r="C98" s="3" t="s">
        <v>31</v>
      </c>
      <c r="D98" s="16">
        <v>16</v>
      </c>
      <c r="E98" s="76" t="s">
        <v>65</v>
      </c>
      <c r="F98" s="17">
        <f>(1/(30*220))*D98*(1/191.4)</f>
        <v>1.2665843386846523E-5</v>
      </c>
      <c r="G98" s="8">
        <f>G92</f>
        <v>3189.8</v>
      </c>
      <c r="H98" s="9">
        <f>F98*G98</f>
        <v>4.0401507235363038E-2</v>
      </c>
      <c r="I98" s="188" t="s">
        <v>168</v>
      </c>
      <c r="J98" s="7" t="s">
        <v>6</v>
      </c>
      <c r="K98" s="3" t="s">
        <v>169</v>
      </c>
      <c r="L98" s="16">
        <v>16</v>
      </c>
      <c r="M98" s="76" t="s">
        <v>91</v>
      </c>
      <c r="N98" s="17">
        <f>(1/(30*380))*L98*(1/188.76)</f>
        <v>7.4354141339787274E-6</v>
      </c>
      <c r="O98" s="1">
        <f>'Encarregado '!C$169</f>
        <v>5493.1992562333526</v>
      </c>
      <c r="P98" s="9">
        <f>N98*O98</f>
        <v>4.0844211390558903E-2</v>
      </c>
      <c r="Q98" s="7" t="s">
        <v>6</v>
      </c>
      <c r="R98" s="3" t="s">
        <v>31</v>
      </c>
      <c r="S98" s="16">
        <v>16</v>
      </c>
      <c r="T98" s="76" t="s">
        <v>38</v>
      </c>
      <c r="U98" s="17">
        <f>(1/(30*220))*S98*(1/191.4)</f>
        <v>1.2665843386846523E-5</v>
      </c>
      <c r="V98" s="16">
        <f>V92</f>
        <v>3123.76</v>
      </c>
      <c r="W98" s="9">
        <f>U98*V98</f>
        <v>3.9565054938095694E-2</v>
      </c>
    </row>
    <row r="99" spans="2:24">
      <c r="B99" s="10" t="s">
        <v>2</v>
      </c>
      <c r="C99" s="4" t="s">
        <v>32</v>
      </c>
      <c r="D99" s="76">
        <v>16</v>
      </c>
      <c r="E99" s="76" t="s">
        <v>38</v>
      </c>
      <c r="F99" s="17">
        <f>(1/220)*D99*(1/191.4)</f>
        <v>3.7997530160539561E-4</v>
      </c>
      <c r="G99" s="2">
        <f>G93</f>
        <v>2588.58</v>
      </c>
      <c r="H99" s="9">
        <f>F99*G99</f>
        <v>0.98359646622969499</v>
      </c>
      <c r="I99" s="189"/>
      <c r="J99" s="7" t="s">
        <v>180</v>
      </c>
      <c r="K99" s="42" t="s">
        <v>170</v>
      </c>
      <c r="L99" s="77">
        <v>16</v>
      </c>
      <c r="M99" s="76" t="s">
        <v>91</v>
      </c>
      <c r="N99" s="44">
        <f>(1/380)*L99*(1/188.76)</f>
        <v>2.2306242401936183E-4</v>
      </c>
      <c r="O99" s="19">
        <f>'Aux Limpeza 1200m'!C$169</f>
        <v>4430.1726398925121</v>
      </c>
      <c r="P99" s="9">
        <f>N99*O99</f>
        <v>0.98820504787867913</v>
      </c>
      <c r="Q99" s="10" t="s">
        <v>2</v>
      </c>
      <c r="R99" s="4" t="s">
        <v>32</v>
      </c>
      <c r="S99" s="16">
        <v>16</v>
      </c>
      <c r="T99" s="76" t="s">
        <v>38</v>
      </c>
      <c r="U99" s="17">
        <f>(1/220)*S99*(1/191.4)</f>
        <v>3.7997530160539561E-4</v>
      </c>
      <c r="V99" s="8">
        <f>V93</f>
        <v>2712.22</v>
      </c>
      <c r="W99" s="9">
        <f>U99*V99</f>
        <v>1.0305766125201861</v>
      </c>
    </row>
    <row r="100" spans="2:24">
      <c r="B100" s="193" t="s">
        <v>37</v>
      </c>
      <c r="C100" s="194"/>
      <c r="D100" s="194"/>
      <c r="E100" s="194"/>
      <c r="F100" s="194"/>
      <c r="G100" s="195"/>
      <c r="H100" s="26">
        <f>SUM(H98:H99)</f>
        <v>1.0239979734650579</v>
      </c>
      <c r="I100" s="198" t="s">
        <v>37</v>
      </c>
      <c r="J100" s="198"/>
      <c r="K100" s="198"/>
      <c r="L100" s="198"/>
      <c r="M100" s="198"/>
      <c r="N100" s="198"/>
      <c r="O100" s="198"/>
      <c r="P100" s="26">
        <f>SUM(P98:P99)</f>
        <v>1.029049259269238</v>
      </c>
      <c r="Q100" s="193" t="s">
        <v>37</v>
      </c>
      <c r="R100" s="194"/>
      <c r="S100" s="194"/>
      <c r="T100" s="194"/>
      <c r="U100" s="194"/>
      <c r="V100" s="195"/>
      <c r="W100" s="11">
        <f>SUM(W98:W99)</f>
        <v>1.0701416674582818</v>
      </c>
    </row>
    <row r="101" spans="2:24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4">
      <c r="B102" s="81" t="s">
        <v>17</v>
      </c>
      <c r="C102" s="193" t="s">
        <v>66</v>
      </c>
      <c r="D102" s="194"/>
      <c r="E102" s="194"/>
      <c r="F102" s="194"/>
      <c r="G102" s="194"/>
      <c r="H102" s="195"/>
      <c r="I102" s="198" t="s">
        <v>17</v>
      </c>
      <c r="J102" s="198"/>
      <c r="K102" s="193" t="s">
        <v>68</v>
      </c>
      <c r="L102" s="194"/>
      <c r="M102" s="194"/>
      <c r="N102" s="194"/>
      <c r="O102" s="194"/>
      <c r="P102" s="195"/>
      <c r="Q102" s="27"/>
      <c r="R102" s="27"/>
      <c r="S102" s="27"/>
      <c r="T102" s="27"/>
      <c r="U102" s="27"/>
      <c r="V102" s="27"/>
      <c r="W102" s="28"/>
    </row>
    <row r="103" spans="2:24" ht="47.25">
      <c r="B103" s="87" t="s">
        <v>0</v>
      </c>
      <c r="C103" s="86" t="s">
        <v>58</v>
      </c>
      <c r="D103" s="87" t="s">
        <v>33</v>
      </c>
      <c r="E103" s="87" t="s">
        <v>34</v>
      </c>
      <c r="F103" s="87" t="s">
        <v>35</v>
      </c>
      <c r="G103" s="87" t="s">
        <v>60</v>
      </c>
      <c r="H103" s="87" t="s">
        <v>61</v>
      </c>
      <c r="I103" s="87" t="s">
        <v>81</v>
      </c>
      <c r="J103" s="87" t="s">
        <v>0</v>
      </c>
      <c r="K103" s="86" t="s">
        <v>58</v>
      </c>
      <c r="L103" s="87" t="s">
        <v>33</v>
      </c>
      <c r="M103" s="87" t="s">
        <v>34</v>
      </c>
      <c r="N103" s="87" t="s">
        <v>35</v>
      </c>
      <c r="O103" s="87" t="s">
        <v>60</v>
      </c>
      <c r="P103" s="87" t="s">
        <v>61</v>
      </c>
      <c r="Q103" s="27"/>
      <c r="R103" s="27"/>
      <c r="S103" s="27"/>
      <c r="T103" s="27"/>
      <c r="U103" s="27"/>
      <c r="V103" s="27"/>
      <c r="W103" s="28"/>
    </row>
    <row r="104" spans="2:24">
      <c r="B104" s="7" t="s">
        <v>6</v>
      </c>
      <c r="C104" s="3" t="s">
        <v>23</v>
      </c>
      <c r="D104" s="16">
        <v>8</v>
      </c>
      <c r="E104" s="76" t="s">
        <v>67</v>
      </c>
      <c r="F104" s="17">
        <f>(1/(4*110))*D104*(1/1148.4)</f>
        <v>1.5832304233558149E-5</v>
      </c>
      <c r="G104" s="8">
        <f>G98</f>
        <v>3189.8</v>
      </c>
      <c r="H104" s="1">
        <f>F104*G104</f>
        <v>5.050188404420379E-2</v>
      </c>
      <c r="I104" s="188" t="s">
        <v>165</v>
      </c>
      <c r="J104" s="7" t="s">
        <v>6</v>
      </c>
      <c r="K104" s="3" t="s">
        <v>166</v>
      </c>
      <c r="L104" s="16">
        <v>8</v>
      </c>
      <c r="M104" s="76" t="s">
        <v>92</v>
      </c>
      <c r="N104" s="17">
        <f>(1/(4*160))*L104*(1/1132.6)</f>
        <v>1.1036553063747132E-5</v>
      </c>
      <c r="O104" s="1">
        <f>'Encarregado '!C$169</f>
        <v>5493.1992562333526</v>
      </c>
      <c r="P104" s="1">
        <f>N104*O104</f>
        <v>6.0625985081155673E-2</v>
      </c>
      <c r="Q104" s="27"/>
      <c r="R104" s="27"/>
      <c r="S104" s="27"/>
      <c r="T104" s="27"/>
      <c r="U104" s="27"/>
      <c r="V104" s="27"/>
      <c r="W104" s="28"/>
    </row>
    <row r="105" spans="2:24">
      <c r="B105" s="10" t="s">
        <v>2</v>
      </c>
      <c r="C105" s="4" t="s">
        <v>22</v>
      </c>
      <c r="D105" s="76">
        <v>8</v>
      </c>
      <c r="E105" s="76" t="s">
        <v>67</v>
      </c>
      <c r="F105" s="17">
        <f>(1/(110))*D105*(1/1148.4)</f>
        <v>6.3329216934232598E-5</v>
      </c>
      <c r="G105" s="2">
        <f>G99</f>
        <v>2588.58</v>
      </c>
      <c r="H105" s="1">
        <f>F105*G105</f>
        <v>0.16393274437161581</v>
      </c>
      <c r="I105" s="189"/>
      <c r="J105" s="7" t="s">
        <v>180</v>
      </c>
      <c r="K105" s="42" t="s">
        <v>167</v>
      </c>
      <c r="L105" s="77">
        <v>8</v>
      </c>
      <c r="M105" s="76" t="s">
        <v>92</v>
      </c>
      <c r="N105" s="44">
        <f>(1/(160))*L105*(1/1132.6)</f>
        <v>4.4146212254988529E-5</v>
      </c>
      <c r="O105" s="19">
        <f>'Aux Limpeza 1200m'!C$169</f>
        <v>4430.1726398925121</v>
      </c>
      <c r="P105" s="1">
        <f>N105*O105</f>
        <v>0.19557534168693769</v>
      </c>
      <c r="Q105" s="27"/>
      <c r="R105" s="27"/>
      <c r="S105" s="27"/>
      <c r="T105" s="27"/>
      <c r="U105" s="27"/>
      <c r="V105" s="27"/>
      <c r="W105" s="28"/>
    </row>
    <row r="106" spans="2:24">
      <c r="B106" s="193" t="s">
        <v>37</v>
      </c>
      <c r="C106" s="194"/>
      <c r="D106" s="194"/>
      <c r="E106" s="194"/>
      <c r="F106" s="194"/>
      <c r="G106" s="195"/>
      <c r="H106" s="26">
        <f>SUM(H104:H105)</f>
        <v>0.21443462841581962</v>
      </c>
      <c r="I106" s="198" t="s">
        <v>37</v>
      </c>
      <c r="J106" s="198"/>
      <c r="K106" s="198"/>
      <c r="L106" s="198"/>
      <c r="M106" s="198"/>
      <c r="N106" s="198"/>
      <c r="O106" s="198"/>
      <c r="P106" s="26">
        <f>SUM(P104:P105)</f>
        <v>0.25620132676809337</v>
      </c>
      <c r="Q106" s="27"/>
      <c r="R106" s="27"/>
      <c r="S106" s="27"/>
      <c r="T106" s="27"/>
      <c r="U106" s="27"/>
      <c r="V106" s="27"/>
      <c r="W106" s="28"/>
    </row>
    <row r="107" spans="2:24">
      <c r="B107" s="14"/>
      <c r="C107" s="14"/>
      <c r="D107" s="14"/>
      <c r="E107" s="14"/>
      <c r="F107" s="14"/>
      <c r="G107" s="14"/>
      <c r="H107" s="29"/>
      <c r="I107" s="15"/>
      <c r="J107" s="14"/>
      <c r="K107" s="14"/>
      <c r="L107" s="14"/>
      <c r="M107" s="14"/>
      <c r="N107" s="14"/>
      <c r="O107" s="14"/>
      <c r="P107" s="29"/>
      <c r="Q107" s="27"/>
      <c r="R107" s="27"/>
      <c r="S107" s="27"/>
      <c r="T107" s="27"/>
      <c r="U107" s="27"/>
      <c r="V107" s="27"/>
      <c r="W107" s="28"/>
    </row>
    <row r="108" spans="2:24" ht="15.75">
      <c r="J108" s="196" t="s">
        <v>150</v>
      </c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</row>
    <row r="109" spans="2:24" ht="60">
      <c r="B109" s="216" t="s">
        <v>39</v>
      </c>
      <c r="C109" s="216"/>
      <c r="D109" s="216"/>
      <c r="E109" s="86" t="s">
        <v>62</v>
      </c>
      <c r="F109" s="86" t="s">
        <v>40</v>
      </c>
      <c r="G109" s="86" t="s">
        <v>41</v>
      </c>
      <c r="J109" s="217" t="s">
        <v>39</v>
      </c>
      <c r="K109" s="217"/>
      <c r="L109" s="217"/>
      <c r="M109" s="87" t="s">
        <v>62</v>
      </c>
      <c r="N109" s="87" t="s">
        <v>40</v>
      </c>
      <c r="O109" s="87" t="s">
        <v>41</v>
      </c>
      <c r="P109" s="87" t="s">
        <v>171</v>
      </c>
      <c r="Q109" s="217"/>
      <c r="R109" s="217"/>
      <c r="S109" s="217"/>
      <c r="T109" s="87"/>
      <c r="U109" s="87"/>
      <c r="V109" s="87"/>
      <c r="W109" s="76"/>
      <c r="X109" s="87" t="s">
        <v>172</v>
      </c>
    </row>
    <row r="110" spans="2:24">
      <c r="B110" s="204" t="s">
        <v>4</v>
      </c>
      <c r="C110" s="205"/>
      <c r="D110" s="205"/>
      <c r="E110" s="205"/>
      <c r="F110" s="205"/>
      <c r="G110" s="206"/>
      <c r="J110" s="199" t="s">
        <v>4</v>
      </c>
      <c r="K110" s="200"/>
      <c r="L110" s="200"/>
      <c r="M110" s="200"/>
      <c r="N110" s="200"/>
      <c r="O110" s="201"/>
      <c r="P110" s="76"/>
      <c r="Q110" s="49"/>
      <c r="R110" s="49"/>
      <c r="S110" s="49"/>
      <c r="T110" s="49"/>
      <c r="U110" s="49"/>
      <c r="V110" s="49"/>
      <c r="W110" s="49"/>
      <c r="X110" s="76"/>
    </row>
    <row r="111" spans="2:24">
      <c r="B111" s="207" t="s">
        <v>42</v>
      </c>
      <c r="C111" s="208"/>
      <c r="D111" s="208"/>
      <c r="E111" s="19">
        <f>ROUND(F9,2)</f>
        <v>4.49</v>
      </c>
      <c r="F111" s="23">
        <v>87672.41</v>
      </c>
      <c r="G111" s="18">
        <f>E111*F111</f>
        <v>393649.12090000004</v>
      </c>
      <c r="I111" s="2">
        <v>1</v>
      </c>
      <c r="J111" s="190" t="s">
        <v>42</v>
      </c>
      <c r="K111" s="190"/>
      <c r="L111" s="190"/>
      <c r="M111" s="1">
        <f>N9</f>
        <v>3.8443994014724643</v>
      </c>
      <c r="N111" s="1">
        <v>75751.431061000068</v>
      </c>
      <c r="O111" s="45">
        <f>M111*N111</f>
        <v>291218.75623159128</v>
      </c>
      <c r="P111" s="1">
        <f>$N111/1200</f>
        <v>63.126192550833387</v>
      </c>
      <c r="Q111" s="191"/>
      <c r="R111" s="191"/>
      <c r="S111" s="191"/>
      <c r="T111" s="1"/>
      <c r="U111" s="1"/>
      <c r="V111" s="1"/>
      <c r="W111" s="1"/>
      <c r="X111" s="1">
        <f>P111/30</f>
        <v>2.1042064183611129</v>
      </c>
    </row>
    <row r="112" spans="2:24">
      <c r="B112" s="84"/>
      <c r="C112" s="85"/>
      <c r="D112" s="85"/>
      <c r="E112" s="19"/>
      <c r="F112" s="23"/>
      <c r="G112" s="20"/>
      <c r="I112" s="2">
        <v>2</v>
      </c>
      <c r="J112" s="190" t="s">
        <v>80</v>
      </c>
      <c r="K112" s="190"/>
      <c r="L112" s="190"/>
      <c r="M112" s="1">
        <f>N15</f>
        <v>3.8443994014724643</v>
      </c>
      <c r="N112" s="1">
        <v>0</v>
      </c>
      <c r="O112" s="45">
        <f t="shared" ref="O112:O120" si="0">M112*N112</f>
        <v>0</v>
      </c>
      <c r="P112" s="1">
        <f>$N112/1200</f>
        <v>0</v>
      </c>
      <c r="Q112" s="79"/>
      <c r="R112" s="79"/>
      <c r="S112" s="79"/>
      <c r="T112" s="1"/>
      <c r="U112" s="1"/>
      <c r="V112" s="1"/>
      <c r="W112" s="1"/>
      <c r="X112" s="1">
        <f t="shared" ref="X112:X120" si="1">P112/30</f>
        <v>0</v>
      </c>
    </row>
    <row r="113" spans="2:24">
      <c r="B113" s="207" t="s">
        <v>8</v>
      </c>
      <c r="C113" s="208"/>
      <c r="D113" s="208"/>
      <c r="E113" s="19">
        <v>4.49</v>
      </c>
      <c r="F113" s="2">
        <v>21690.33</v>
      </c>
      <c r="G113" s="20">
        <f>E113*F113</f>
        <v>97389.58170000001</v>
      </c>
      <c r="I113" s="2">
        <v>3</v>
      </c>
      <c r="J113" s="190" t="s">
        <v>8</v>
      </c>
      <c r="K113" s="190"/>
      <c r="L113" s="190"/>
      <c r="M113" s="1">
        <f>N21</f>
        <v>10.251731737259906</v>
      </c>
      <c r="N113" s="1">
        <v>17684.170000000002</v>
      </c>
      <c r="O113" s="45">
        <f>M113*N113</f>
        <v>181293.36683609954</v>
      </c>
      <c r="P113" s="1">
        <f>$N113/450</f>
        <v>39.29815555555556</v>
      </c>
      <c r="Q113" s="191"/>
      <c r="R113" s="191"/>
      <c r="S113" s="191"/>
      <c r="T113" s="1"/>
      <c r="U113" s="1"/>
      <c r="V113" s="1"/>
      <c r="W113" s="1"/>
      <c r="X113" s="1">
        <f t="shared" si="1"/>
        <v>1.3099385185185186</v>
      </c>
    </row>
    <row r="114" spans="2:24">
      <c r="B114" s="84"/>
      <c r="C114" s="85"/>
      <c r="D114" s="85"/>
      <c r="E114" s="19"/>
      <c r="G114" s="20"/>
      <c r="I114" s="2">
        <v>4</v>
      </c>
      <c r="J114" s="190" t="s">
        <v>147</v>
      </c>
      <c r="K114" s="190"/>
      <c r="L114" s="190"/>
      <c r="M114" s="1">
        <f>N27</f>
        <v>11.568856174432641</v>
      </c>
      <c r="N114" s="1">
        <v>111.26</v>
      </c>
      <c r="O114" s="45">
        <f>M114*N114</f>
        <v>1287.1509379673757</v>
      </c>
      <c r="P114" s="1">
        <f>$N114/450</f>
        <v>0.24724444444444446</v>
      </c>
      <c r="Q114" s="79"/>
      <c r="R114" s="79"/>
      <c r="S114" s="79"/>
      <c r="T114" s="1"/>
      <c r="U114" s="1"/>
      <c r="V114" s="1"/>
      <c r="W114" s="1"/>
      <c r="X114" s="1">
        <f t="shared" si="1"/>
        <v>8.2414814814814816E-3</v>
      </c>
    </row>
    <row r="115" spans="2:24">
      <c r="B115" s="84"/>
      <c r="C115" s="85"/>
      <c r="D115" s="85"/>
      <c r="E115" s="19"/>
      <c r="G115" s="20"/>
      <c r="J115" s="190" t="s">
        <v>108</v>
      </c>
      <c r="K115" s="190"/>
      <c r="L115" s="190"/>
      <c r="M115" s="1">
        <f>N33</f>
        <v>12.885980611605376</v>
      </c>
      <c r="N115" s="1">
        <v>1067.94</v>
      </c>
      <c r="O115" s="45">
        <f>M115*N115</f>
        <v>13761.454134357846</v>
      </c>
      <c r="P115" s="1">
        <f>$N115/450</f>
        <v>2.3732000000000002</v>
      </c>
      <c r="Q115" s="79"/>
      <c r="R115" s="79"/>
      <c r="S115" s="79"/>
      <c r="T115" s="1"/>
      <c r="U115" s="1"/>
      <c r="V115" s="1"/>
      <c r="W115" s="1"/>
      <c r="X115" s="1">
        <f>P115/30</f>
        <v>7.9106666666666672E-2</v>
      </c>
    </row>
    <row r="116" spans="2:24">
      <c r="B116" s="207" t="s">
        <v>43</v>
      </c>
      <c r="C116" s="208"/>
      <c r="D116" s="208"/>
      <c r="E116" s="19">
        <v>4.49</v>
      </c>
      <c r="F116" s="2">
        <v>254.12</v>
      </c>
      <c r="G116" s="20">
        <f t="shared" ref="G116:G117" si="2">E116*F116</f>
        <v>1140.9988000000001</v>
      </c>
      <c r="I116" s="2">
        <v>5</v>
      </c>
      <c r="J116" s="213" t="s">
        <v>43</v>
      </c>
      <c r="K116" s="214"/>
      <c r="L116" s="215"/>
      <c r="M116" s="1">
        <f>N40</f>
        <v>1.8453117127067831</v>
      </c>
      <c r="N116" s="1">
        <v>2642.79</v>
      </c>
      <c r="O116" s="45">
        <f t="shared" si="0"/>
        <v>4876.7713412243593</v>
      </c>
      <c r="P116" s="1">
        <f>$N116/2500</f>
        <v>1.0571159999999999</v>
      </c>
      <c r="Q116" s="191"/>
      <c r="R116" s="191"/>
      <c r="S116" s="191"/>
      <c r="T116" s="1"/>
      <c r="U116" s="1"/>
      <c r="V116" s="1"/>
      <c r="W116" s="1"/>
      <c r="X116" s="1">
        <f t="shared" si="1"/>
        <v>3.5237199999999996E-2</v>
      </c>
    </row>
    <row r="117" spans="2:24">
      <c r="B117" s="207" t="s">
        <v>44</v>
      </c>
      <c r="C117" s="208"/>
      <c r="D117" s="208"/>
      <c r="E117" s="19">
        <v>4.49</v>
      </c>
      <c r="F117" s="2">
        <v>395.74</v>
      </c>
      <c r="G117" s="20">
        <f t="shared" si="2"/>
        <v>1776.8726000000001</v>
      </c>
      <c r="I117" s="2">
        <v>6</v>
      </c>
      <c r="J117" s="190" t="s">
        <v>12</v>
      </c>
      <c r="K117" s="190"/>
      <c r="L117" s="190"/>
      <c r="M117" s="1">
        <f>N46</f>
        <v>2.5629329343149765</v>
      </c>
      <c r="N117" s="1">
        <v>695.78</v>
      </c>
      <c r="O117" s="45">
        <f t="shared" si="0"/>
        <v>1783.2374770376744</v>
      </c>
      <c r="P117" s="1">
        <f>$N117/1800</f>
        <v>0.38654444444444441</v>
      </c>
      <c r="Q117" s="191"/>
      <c r="R117" s="191"/>
      <c r="S117" s="191"/>
      <c r="T117" s="1"/>
      <c r="U117" s="1"/>
      <c r="V117" s="1"/>
      <c r="W117" s="1"/>
      <c r="X117" s="1">
        <f>P117/30</f>
        <v>1.2884814814814814E-2</v>
      </c>
    </row>
    <row r="118" spans="2:24">
      <c r="B118" s="84"/>
      <c r="C118" s="85"/>
      <c r="D118" s="85"/>
      <c r="E118" s="19"/>
      <c r="G118" s="20"/>
      <c r="I118" s="2">
        <v>7</v>
      </c>
      <c r="J118" s="190" t="s">
        <v>45</v>
      </c>
      <c r="K118" s="190"/>
      <c r="L118" s="190"/>
      <c r="M118" s="1">
        <f>N52</f>
        <v>3.0755195211779713</v>
      </c>
      <c r="N118" s="1">
        <v>49426.10325</v>
      </c>
      <c r="O118" s="45">
        <f t="shared" si="0"/>
        <v>152010.94540113298</v>
      </c>
      <c r="P118" s="1">
        <f>$N118/1500</f>
        <v>32.9507355</v>
      </c>
      <c r="Q118" s="79"/>
      <c r="R118" s="79"/>
      <c r="S118" s="79"/>
      <c r="T118" s="1"/>
      <c r="U118" s="1"/>
      <c r="V118" s="1"/>
      <c r="W118" s="1"/>
      <c r="X118" s="1">
        <f t="shared" si="1"/>
        <v>1.09835785</v>
      </c>
    </row>
    <row r="119" spans="2:24">
      <c r="B119" s="84"/>
      <c r="C119" s="85"/>
      <c r="D119" s="85"/>
      <c r="E119" s="19"/>
      <c r="G119" s="20"/>
      <c r="I119" s="2">
        <v>8</v>
      </c>
      <c r="J119" s="190" t="s">
        <v>70</v>
      </c>
      <c r="K119" s="190"/>
      <c r="L119" s="190"/>
      <c r="M119" s="1">
        <f>N57</f>
        <v>22.15086319946256</v>
      </c>
      <c r="N119" s="1">
        <v>0</v>
      </c>
      <c r="O119" s="45">
        <f t="shared" si="0"/>
        <v>0</v>
      </c>
      <c r="P119" s="1">
        <f>$N119/300</f>
        <v>0</v>
      </c>
      <c r="Q119" s="191"/>
      <c r="R119" s="191"/>
      <c r="S119" s="191"/>
      <c r="T119" s="1"/>
      <c r="U119" s="1"/>
      <c r="V119" s="1"/>
      <c r="W119" s="1"/>
      <c r="X119" s="1">
        <f t="shared" si="1"/>
        <v>0</v>
      </c>
    </row>
    <row r="120" spans="2:24">
      <c r="B120" s="211" t="s">
        <v>45</v>
      </c>
      <c r="C120" s="212"/>
      <c r="D120" s="212"/>
      <c r="E120" s="19">
        <f>ROUND(F52,2)</f>
        <v>4.49</v>
      </c>
      <c r="F120" s="21">
        <v>7616.73</v>
      </c>
      <c r="G120" s="22">
        <f t="shared" ref="G120" si="3">E120*F120</f>
        <v>34199.117700000003</v>
      </c>
      <c r="I120" s="2">
        <v>9</v>
      </c>
      <c r="J120" s="190" t="s">
        <v>109</v>
      </c>
      <c r="K120" s="190"/>
      <c r="L120" s="190"/>
      <c r="M120" s="1">
        <f>N64</f>
        <v>28.993456376112096</v>
      </c>
      <c r="N120" s="1">
        <v>5772.7499999999982</v>
      </c>
      <c r="O120" s="45">
        <f t="shared" si="0"/>
        <v>167371.97529520106</v>
      </c>
      <c r="P120" s="1">
        <f>$N120/300</f>
        <v>19.242499999999993</v>
      </c>
      <c r="Q120" s="191"/>
      <c r="R120" s="191"/>
      <c r="S120" s="191"/>
      <c r="T120" s="1"/>
      <c r="U120" s="1"/>
      <c r="V120" s="1"/>
      <c r="W120" s="1"/>
      <c r="X120" s="1">
        <f t="shared" si="1"/>
        <v>0.64141666666666641</v>
      </c>
    </row>
    <row r="121" spans="2:24">
      <c r="B121" s="204" t="s">
        <v>17</v>
      </c>
      <c r="C121" s="205"/>
      <c r="D121" s="205"/>
      <c r="E121" s="205"/>
      <c r="F121" s="205"/>
      <c r="G121" s="206"/>
      <c r="J121" s="199" t="s">
        <v>17</v>
      </c>
      <c r="K121" s="200"/>
      <c r="L121" s="200"/>
      <c r="M121" s="200"/>
      <c r="N121" s="200"/>
      <c r="O121" s="201"/>
      <c r="P121" s="1"/>
      <c r="Q121" s="65"/>
      <c r="R121" s="65"/>
      <c r="S121" s="65"/>
      <c r="T121" s="65"/>
      <c r="U121" s="65"/>
      <c r="V121" s="65"/>
      <c r="W121" s="65"/>
      <c r="X121" s="1"/>
    </row>
    <row r="122" spans="2:24">
      <c r="B122" s="209" t="s">
        <v>15</v>
      </c>
      <c r="C122" s="210"/>
      <c r="D122" s="210"/>
      <c r="E122" s="19">
        <f>ROUND(F70,2)</f>
        <v>2.25</v>
      </c>
      <c r="F122" s="23">
        <v>11806.6</v>
      </c>
      <c r="G122" s="18">
        <f>E122*F122</f>
        <v>26564.850000000002</v>
      </c>
      <c r="I122" s="2">
        <v>10</v>
      </c>
      <c r="J122" s="190" t="s">
        <v>15</v>
      </c>
      <c r="K122" s="190"/>
      <c r="L122" s="190"/>
      <c r="M122" s="1">
        <f>N70</f>
        <v>1.708621956209984</v>
      </c>
      <c r="N122" s="45">
        <v>17032.018</v>
      </c>
      <c r="O122" s="45">
        <f>M122*N122</f>
        <v>29101.279913363658</v>
      </c>
      <c r="P122" s="1">
        <f>$N122/2700</f>
        <v>6.3081548148148148</v>
      </c>
      <c r="Q122" s="191"/>
      <c r="R122" s="191"/>
      <c r="S122" s="191"/>
      <c r="T122" s="1"/>
      <c r="U122" s="1"/>
      <c r="V122" s="1"/>
      <c r="W122" s="1"/>
      <c r="X122" s="1">
        <f>P122/30</f>
        <v>0.21027182716049383</v>
      </c>
    </row>
    <row r="123" spans="2:24">
      <c r="B123" s="207" t="s">
        <v>46</v>
      </c>
      <c r="C123" s="208"/>
      <c r="D123" s="208"/>
      <c r="E123" s="19">
        <f>ROUND(F76,2)</f>
        <v>2.25</v>
      </c>
      <c r="F123" s="23">
        <v>23494.7</v>
      </c>
      <c r="G123" s="20">
        <f>E123*F123</f>
        <v>52863.075000000004</v>
      </c>
      <c r="I123" s="2">
        <v>11</v>
      </c>
      <c r="J123" s="190" t="s">
        <v>46</v>
      </c>
      <c r="K123" s="190"/>
      <c r="L123" s="190"/>
      <c r="M123" s="1">
        <f>N76</f>
        <v>0.5125865868629953</v>
      </c>
      <c r="N123" s="45">
        <v>51466.65</v>
      </c>
      <c r="O123" s="45">
        <f t="shared" ref="O123:O127" si="4">M123*N123</f>
        <v>26381.114460772376</v>
      </c>
      <c r="P123" s="1">
        <f>$N123/9000</f>
        <v>5.7185166666666669</v>
      </c>
      <c r="Q123" s="191"/>
      <c r="R123" s="191"/>
      <c r="S123" s="191"/>
      <c r="T123" s="1"/>
      <c r="U123" s="1"/>
      <c r="V123" s="1"/>
      <c r="W123" s="1"/>
      <c r="X123" s="1">
        <f t="shared" ref="X123:X127" si="5">P123/30</f>
        <v>0.19061722222222224</v>
      </c>
    </row>
    <row r="124" spans="2:24">
      <c r="B124" s="207" t="s">
        <v>69</v>
      </c>
      <c r="C124" s="208"/>
      <c r="D124" s="208"/>
      <c r="E124" s="2">
        <v>2.25</v>
      </c>
      <c r="F124" s="2">
        <v>23765.05</v>
      </c>
      <c r="G124" s="20">
        <f>E124*F124</f>
        <v>53471.362499999996</v>
      </c>
      <c r="I124" s="2">
        <v>12</v>
      </c>
      <c r="J124" s="190" t="s">
        <v>69</v>
      </c>
      <c r="K124" s="190"/>
      <c r="L124" s="190"/>
      <c r="M124" s="1">
        <f>N82</f>
        <v>1.708621956209984</v>
      </c>
      <c r="N124" s="45">
        <v>23788.279999999988</v>
      </c>
      <c r="O124" s="45">
        <f>M124*N124</f>
        <v>40645.177508470821</v>
      </c>
      <c r="P124" s="1">
        <f>$N124/2700</f>
        <v>8.8104740740740688</v>
      </c>
      <c r="Q124" s="191"/>
      <c r="R124" s="191"/>
      <c r="S124" s="191"/>
      <c r="T124" s="1"/>
      <c r="U124" s="1"/>
      <c r="V124" s="1"/>
      <c r="W124" s="1"/>
      <c r="X124" s="1">
        <f>P124/30</f>
        <v>0.29368246913580232</v>
      </c>
    </row>
    <row r="125" spans="2:24">
      <c r="B125" s="207" t="s">
        <v>47</v>
      </c>
      <c r="C125" s="208"/>
      <c r="D125" s="208"/>
      <c r="E125" s="2" t="s">
        <v>53</v>
      </c>
      <c r="F125" s="2" t="s">
        <v>53</v>
      </c>
      <c r="G125" s="24" t="s">
        <v>53</v>
      </c>
      <c r="I125" s="2">
        <v>13</v>
      </c>
      <c r="J125" s="190" t="s">
        <v>47</v>
      </c>
      <c r="K125" s="190"/>
      <c r="L125" s="190"/>
      <c r="M125" s="1">
        <f>N82</f>
        <v>1.708621956209984</v>
      </c>
      <c r="N125" s="45">
        <v>0</v>
      </c>
      <c r="O125" s="45">
        <f t="shared" si="4"/>
        <v>0</v>
      </c>
      <c r="P125" s="1">
        <f>$N125/2700</f>
        <v>0</v>
      </c>
      <c r="Q125" s="191"/>
      <c r="R125" s="191"/>
      <c r="S125" s="191"/>
      <c r="T125" s="1"/>
      <c r="U125" s="1"/>
      <c r="V125" s="1"/>
      <c r="W125" s="1"/>
      <c r="X125" s="1">
        <f t="shared" si="5"/>
        <v>0</v>
      </c>
    </row>
    <row r="126" spans="2:24">
      <c r="B126" s="207" t="s">
        <v>47</v>
      </c>
      <c r="C126" s="208"/>
      <c r="D126" s="208"/>
      <c r="E126" s="19" t="s">
        <v>53</v>
      </c>
      <c r="F126" s="23" t="s">
        <v>53</v>
      </c>
      <c r="G126" s="24" t="s">
        <v>53</v>
      </c>
      <c r="I126" s="2">
        <v>14</v>
      </c>
      <c r="J126" s="190" t="s">
        <v>175</v>
      </c>
      <c r="K126" s="190"/>
      <c r="L126" s="190"/>
      <c r="M126" s="1">
        <f>N82</f>
        <v>1.708621956209984</v>
      </c>
      <c r="N126" s="45">
        <v>0</v>
      </c>
      <c r="O126" s="45">
        <f t="shared" si="4"/>
        <v>0</v>
      </c>
      <c r="P126" s="1">
        <f>$N126/2700</f>
        <v>0</v>
      </c>
      <c r="Q126" s="191"/>
      <c r="R126" s="191"/>
      <c r="S126" s="191"/>
      <c r="T126" s="1"/>
      <c r="U126" s="1"/>
      <c r="V126" s="1"/>
      <c r="W126" s="1"/>
      <c r="X126" s="1">
        <f t="shared" si="5"/>
        <v>0</v>
      </c>
    </row>
    <row r="127" spans="2:24">
      <c r="B127" s="211" t="s">
        <v>68</v>
      </c>
      <c r="C127" s="212"/>
      <c r="D127" s="212"/>
      <c r="E127" s="19">
        <f>H106</f>
        <v>0.21443462841581962</v>
      </c>
      <c r="F127" s="23">
        <v>4628.38</v>
      </c>
      <c r="G127" s="30">
        <v>971.96</v>
      </c>
      <c r="I127" s="2">
        <v>15</v>
      </c>
      <c r="J127" s="190" t="s">
        <v>68</v>
      </c>
      <c r="K127" s="190"/>
      <c r="L127" s="190"/>
      <c r="M127" s="1">
        <f>P106</f>
        <v>0.25620132676809337</v>
      </c>
      <c r="N127" s="45">
        <v>0</v>
      </c>
      <c r="O127" s="45">
        <f t="shared" si="4"/>
        <v>0</v>
      </c>
      <c r="P127" s="1">
        <f>$N127/N105</f>
        <v>0</v>
      </c>
      <c r="Q127" s="191"/>
      <c r="R127" s="191"/>
      <c r="S127" s="191"/>
      <c r="T127" s="1"/>
      <c r="U127" s="1"/>
      <c r="V127" s="1"/>
      <c r="W127" s="1"/>
      <c r="X127" s="1">
        <f t="shared" si="5"/>
        <v>0</v>
      </c>
    </row>
    <row r="128" spans="2:24">
      <c r="B128" s="204" t="s">
        <v>54</v>
      </c>
      <c r="C128" s="205"/>
      <c r="D128" s="205"/>
      <c r="E128" s="205"/>
      <c r="F128" s="205"/>
      <c r="G128" s="206"/>
      <c r="J128" s="199" t="s">
        <v>54</v>
      </c>
      <c r="K128" s="200"/>
      <c r="L128" s="200"/>
      <c r="M128" s="200"/>
      <c r="N128" s="200"/>
      <c r="O128" s="201"/>
      <c r="P128" s="1"/>
      <c r="Q128" s="65"/>
      <c r="R128" s="65"/>
      <c r="S128" s="65"/>
      <c r="T128" s="65"/>
      <c r="U128" s="65"/>
      <c r="V128" s="65"/>
      <c r="W128" s="65"/>
      <c r="X128" s="1"/>
    </row>
    <row r="129" spans="2:24">
      <c r="B129" s="207" t="s">
        <v>48</v>
      </c>
      <c r="C129" s="208"/>
      <c r="D129" s="208"/>
      <c r="E129" s="19">
        <f>ROUND(H88,2)</f>
        <v>1.02</v>
      </c>
      <c r="F129" s="2">
        <v>9066.64</v>
      </c>
      <c r="G129" s="20">
        <f>E129*F129</f>
        <v>9247.9727999999996</v>
      </c>
      <c r="I129" s="2">
        <v>16</v>
      </c>
      <c r="J129" s="190" t="s">
        <v>48</v>
      </c>
      <c r="K129" s="190"/>
      <c r="L129" s="190"/>
      <c r="M129" s="1">
        <f>P88</f>
        <v>0.25620132676809337</v>
      </c>
      <c r="N129" s="45">
        <v>6349.1080000000002</v>
      </c>
      <c r="O129" s="45">
        <f>M129*N129</f>
        <v>1626.6498933939158</v>
      </c>
      <c r="P129" s="1">
        <f>$N129*N87</f>
        <v>0.2802890693978457</v>
      </c>
      <c r="Q129" s="191"/>
      <c r="R129" s="191"/>
      <c r="S129" s="191"/>
      <c r="T129" s="1"/>
      <c r="U129" s="1"/>
      <c r="V129" s="1"/>
      <c r="W129" s="1"/>
      <c r="X129" s="1">
        <f>P129/30</f>
        <v>9.3429689799281908E-3</v>
      </c>
    </row>
    <row r="130" spans="2:24">
      <c r="B130" s="207" t="s">
        <v>49</v>
      </c>
      <c r="C130" s="208"/>
      <c r="D130" s="208"/>
      <c r="E130" s="19"/>
      <c r="F130" s="19"/>
      <c r="G130" s="20"/>
      <c r="I130" s="2">
        <v>17</v>
      </c>
      <c r="J130" s="190" t="s">
        <v>49</v>
      </c>
      <c r="K130" s="190"/>
      <c r="L130" s="190"/>
      <c r="M130" s="1">
        <f>P94</f>
        <v>1.029049259269238</v>
      </c>
      <c r="N130" s="109">
        <v>9473.5799999999945</v>
      </c>
      <c r="O130" s="45">
        <f t="shared" ref="O130:O131" si="6">M130*N130</f>
        <v>9748.7804816278622</v>
      </c>
      <c r="P130" s="1">
        <f>$N130*N93</f>
        <v>2.1131997189413445</v>
      </c>
      <c r="Q130" s="191"/>
      <c r="R130" s="191"/>
      <c r="S130" s="191"/>
      <c r="T130" s="1"/>
      <c r="U130" s="1"/>
      <c r="V130" s="1"/>
      <c r="W130" s="1"/>
      <c r="X130" s="1">
        <f t="shared" ref="X130:X131" si="7">P130/30</f>
        <v>7.0439990631378152E-2</v>
      </c>
    </row>
    <row r="131" spans="2:24">
      <c r="B131" s="211" t="s">
        <v>50</v>
      </c>
      <c r="C131" s="212"/>
      <c r="D131" s="212"/>
      <c r="E131" s="19">
        <f>ROUND(H100,2)</f>
        <v>1.02</v>
      </c>
      <c r="F131" s="21">
        <v>13714.65</v>
      </c>
      <c r="G131" s="22">
        <f t="shared" ref="G131" si="8">E131*F131</f>
        <v>13988.942999999999</v>
      </c>
      <c r="I131" s="2">
        <v>18</v>
      </c>
      <c r="J131" s="190" t="s">
        <v>50</v>
      </c>
      <c r="K131" s="190"/>
      <c r="L131" s="190"/>
      <c r="M131" s="1">
        <f>P100</f>
        <v>1.029049259269238</v>
      </c>
      <c r="N131" s="109">
        <v>15330.017999999998</v>
      </c>
      <c r="O131" s="45">
        <f t="shared" si="6"/>
        <v>15775.343667484083</v>
      </c>
      <c r="P131" s="1">
        <f>$N131*N99</f>
        <v>3.4195509753404489</v>
      </c>
      <c r="Q131" s="191"/>
      <c r="R131" s="191"/>
      <c r="S131" s="191"/>
      <c r="T131" s="1"/>
      <c r="U131" s="1"/>
      <c r="V131" s="1"/>
      <c r="W131" s="1"/>
      <c r="X131" s="1">
        <f t="shared" si="7"/>
        <v>0.1139850325113483</v>
      </c>
    </row>
    <row r="132" spans="2:24">
      <c r="B132" s="199" t="s">
        <v>3</v>
      </c>
      <c r="C132" s="200"/>
      <c r="D132" s="200"/>
      <c r="E132" s="200"/>
      <c r="F132" s="201"/>
      <c r="G132" s="31">
        <f>SUM(G111:G131)</f>
        <v>685263.85499999998</v>
      </c>
      <c r="J132" s="203" t="s">
        <v>93</v>
      </c>
      <c r="K132" s="203"/>
      <c r="L132" s="203"/>
      <c r="M132" s="203"/>
      <c r="N132" s="203"/>
      <c r="O132" s="31">
        <f>SUM(O111:O131)</f>
        <v>936882.00357972493</v>
      </c>
      <c r="P132" s="53">
        <f>SUM(P111:P131)</f>
        <v>185.33187381451299</v>
      </c>
      <c r="Q132" s="192"/>
      <c r="R132" s="192"/>
      <c r="S132" s="192"/>
      <c r="T132" s="192"/>
      <c r="U132" s="192"/>
      <c r="V132" s="80"/>
      <c r="W132" s="51"/>
      <c r="X132" s="53">
        <f>SUM(X110:X131)</f>
        <v>6.1777291271504344</v>
      </c>
    </row>
    <row r="133" spans="2:24">
      <c r="J133" s="199" t="s">
        <v>107</v>
      </c>
      <c r="K133" s="200"/>
      <c r="L133" s="200"/>
      <c r="M133" s="200"/>
      <c r="N133" s="201"/>
      <c r="O133" s="50">
        <f>O132*12</f>
        <v>11242584.042956699</v>
      </c>
      <c r="Q133" s="49"/>
      <c r="R133" s="49"/>
      <c r="S133" s="49"/>
      <c r="T133" s="49"/>
      <c r="U133" s="49"/>
      <c r="V133" s="49"/>
      <c r="W133" s="49"/>
    </row>
    <row r="134" spans="2:24">
      <c r="F134" s="2">
        <v>12</v>
      </c>
      <c r="G134" s="32">
        <f>G132*F134</f>
        <v>8223166.2599999998</v>
      </c>
      <c r="M134" s="23"/>
      <c r="O134" s="32"/>
      <c r="P134" s="59"/>
    </row>
    <row r="135" spans="2:24">
      <c r="G135" s="32"/>
      <c r="J135" s="110" t="s">
        <v>458</v>
      </c>
      <c r="K135" s="23"/>
      <c r="M135" s="32"/>
    </row>
    <row r="136" spans="2:24">
      <c r="G136" s="32"/>
      <c r="K136" s="23"/>
      <c r="M136" s="32"/>
    </row>
    <row r="137" spans="2:24">
      <c r="J137" s="111"/>
      <c r="K137" s="110"/>
      <c r="L137" s="111"/>
      <c r="M137" s="110"/>
      <c r="O137" s="111"/>
      <c r="P137" s="110"/>
    </row>
    <row r="138" spans="2:24">
      <c r="J138" s="112"/>
      <c r="K138" s="113"/>
      <c r="L138" s="112"/>
      <c r="M138" s="113"/>
      <c r="N138" s="62"/>
      <c r="O138" s="112"/>
      <c r="P138" s="113"/>
    </row>
    <row r="139" spans="2:24">
      <c r="J139" s="114"/>
      <c r="K139" s="113"/>
      <c r="L139" s="114"/>
      <c r="M139" s="113"/>
      <c r="N139" s="62"/>
      <c r="O139" s="114"/>
      <c r="P139" s="113"/>
    </row>
    <row r="140" spans="2:24">
      <c r="J140" s="115"/>
      <c r="K140" s="113"/>
      <c r="L140" s="112"/>
      <c r="M140" s="113"/>
      <c r="N140" s="62"/>
      <c r="O140" s="112"/>
      <c r="P140" s="113"/>
    </row>
    <row r="141" spans="2:24">
      <c r="J141" s="116"/>
      <c r="K141" s="113"/>
      <c r="L141" s="116"/>
      <c r="M141" s="116"/>
      <c r="N141" s="62"/>
      <c r="O141" s="116"/>
      <c r="P141" s="116"/>
    </row>
    <row r="142" spans="2:24">
      <c r="N142" s="23"/>
    </row>
    <row r="143" spans="2:24">
      <c r="M143" s="111"/>
      <c r="N143" s="110"/>
    </row>
    <row r="144" spans="2:24">
      <c r="M144" s="117"/>
      <c r="N144" s="110"/>
    </row>
    <row r="145" spans="13:14">
      <c r="M145" s="114"/>
      <c r="N145" s="110"/>
    </row>
    <row r="146" spans="13:14">
      <c r="M146" s="117"/>
      <c r="N146" s="110"/>
    </row>
    <row r="147" spans="13:14">
      <c r="M147" s="118"/>
      <c r="N147" s="118"/>
    </row>
  </sheetData>
  <mergeCells count="182">
    <mergeCell ref="D5:F5"/>
    <mergeCell ref="J5:K5"/>
    <mergeCell ref="L5:N5"/>
    <mergeCell ref="S5:U5"/>
    <mergeCell ref="J7:J8"/>
    <mergeCell ref="C9:E9"/>
    <mergeCell ref="J9:M9"/>
    <mergeCell ref="R9:T9"/>
    <mergeCell ref="J1:N1"/>
    <mergeCell ref="C2:F3"/>
    <mergeCell ref="I2:O3"/>
    <mergeCell ref="R2:U3"/>
    <mergeCell ref="C4:F4"/>
    <mergeCell ref="J4:N4"/>
    <mergeCell ref="R4:U4"/>
    <mergeCell ref="S17:U17"/>
    <mergeCell ref="J19:J20"/>
    <mergeCell ref="C21:E21"/>
    <mergeCell ref="J21:M21"/>
    <mergeCell ref="R21:T21"/>
    <mergeCell ref="J23:K23"/>
    <mergeCell ref="L23:N23"/>
    <mergeCell ref="J11:K11"/>
    <mergeCell ref="L11:N11"/>
    <mergeCell ref="J13:J14"/>
    <mergeCell ref="J15:M15"/>
    <mergeCell ref="D17:F17"/>
    <mergeCell ref="J17:K17"/>
    <mergeCell ref="L17:N17"/>
    <mergeCell ref="D36:F36"/>
    <mergeCell ref="J36:K36"/>
    <mergeCell ref="L36:N36"/>
    <mergeCell ref="S36:U36"/>
    <mergeCell ref="J38:J39"/>
    <mergeCell ref="C40:E40"/>
    <mergeCell ref="J40:M40"/>
    <mergeCell ref="R40:T40"/>
    <mergeCell ref="J25:J26"/>
    <mergeCell ref="J27:M27"/>
    <mergeCell ref="J29:K29"/>
    <mergeCell ref="L29:N29"/>
    <mergeCell ref="J31:J32"/>
    <mergeCell ref="J33:M33"/>
    <mergeCell ref="D48:F48"/>
    <mergeCell ref="J48:K48"/>
    <mergeCell ref="L48:N48"/>
    <mergeCell ref="S48:U48"/>
    <mergeCell ref="J50:J51"/>
    <mergeCell ref="C52:E52"/>
    <mergeCell ref="J52:M52"/>
    <mergeCell ref="R52:T52"/>
    <mergeCell ref="D42:F42"/>
    <mergeCell ref="J42:K42"/>
    <mergeCell ref="L42:N42"/>
    <mergeCell ref="S42:U42"/>
    <mergeCell ref="J44:J45"/>
    <mergeCell ref="C46:E46"/>
    <mergeCell ref="J46:M46"/>
    <mergeCell ref="R46:T46"/>
    <mergeCell ref="J62:J63"/>
    <mergeCell ref="J64:M64"/>
    <mergeCell ref="D66:F66"/>
    <mergeCell ref="J66:K66"/>
    <mergeCell ref="L66:N66"/>
    <mergeCell ref="S66:U66"/>
    <mergeCell ref="J54:K54"/>
    <mergeCell ref="L54:N54"/>
    <mergeCell ref="J56:J57"/>
    <mergeCell ref="J58:M58"/>
    <mergeCell ref="J60:K60"/>
    <mergeCell ref="L60:N60"/>
    <mergeCell ref="J74:J75"/>
    <mergeCell ref="C76:E76"/>
    <mergeCell ref="J76:M76"/>
    <mergeCell ref="R76:T76"/>
    <mergeCell ref="D78:F78"/>
    <mergeCell ref="J78:K78"/>
    <mergeCell ref="L78:N78"/>
    <mergeCell ref="S78:U78"/>
    <mergeCell ref="J68:J69"/>
    <mergeCell ref="J70:M70"/>
    <mergeCell ref="R70:T70"/>
    <mergeCell ref="D72:F72"/>
    <mergeCell ref="J72:K72"/>
    <mergeCell ref="L72:N72"/>
    <mergeCell ref="S72:U72"/>
    <mergeCell ref="I86:I87"/>
    <mergeCell ref="B88:G88"/>
    <mergeCell ref="I88:O88"/>
    <mergeCell ref="Q88:V88"/>
    <mergeCell ref="C90:H90"/>
    <mergeCell ref="I90:J90"/>
    <mergeCell ref="K90:P90"/>
    <mergeCell ref="R90:W90"/>
    <mergeCell ref="J80:J81"/>
    <mergeCell ref="C82:E82"/>
    <mergeCell ref="J82:M82"/>
    <mergeCell ref="R82:T82"/>
    <mergeCell ref="C84:H84"/>
    <mergeCell ref="I84:J84"/>
    <mergeCell ref="K84:P84"/>
    <mergeCell ref="R84:W84"/>
    <mergeCell ref="I98:I99"/>
    <mergeCell ref="B100:G100"/>
    <mergeCell ref="I100:O100"/>
    <mergeCell ref="Q100:V100"/>
    <mergeCell ref="C102:H102"/>
    <mergeCell ref="I102:J102"/>
    <mergeCell ref="K102:P102"/>
    <mergeCell ref="I92:I93"/>
    <mergeCell ref="B94:G94"/>
    <mergeCell ref="I94:O94"/>
    <mergeCell ref="Q94:V94"/>
    <mergeCell ref="C96:H96"/>
    <mergeCell ref="I96:J96"/>
    <mergeCell ref="K96:P96"/>
    <mergeCell ref="R96:W96"/>
    <mergeCell ref="B110:G110"/>
    <mergeCell ref="J110:O110"/>
    <mergeCell ref="B111:D111"/>
    <mergeCell ref="J111:L111"/>
    <mergeCell ref="Q111:S111"/>
    <mergeCell ref="J112:L112"/>
    <mergeCell ref="I104:I105"/>
    <mergeCell ref="B106:G106"/>
    <mergeCell ref="I106:O106"/>
    <mergeCell ref="B109:D109"/>
    <mergeCell ref="J109:L109"/>
    <mergeCell ref="Q109:S109"/>
    <mergeCell ref="B117:D117"/>
    <mergeCell ref="J117:L117"/>
    <mergeCell ref="Q117:S117"/>
    <mergeCell ref="J118:L118"/>
    <mergeCell ref="J119:L119"/>
    <mergeCell ref="Q119:S119"/>
    <mergeCell ref="B113:D113"/>
    <mergeCell ref="J113:L113"/>
    <mergeCell ref="Q113:S113"/>
    <mergeCell ref="J114:L114"/>
    <mergeCell ref="J115:L115"/>
    <mergeCell ref="B116:D116"/>
    <mergeCell ref="J116:L116"/>
    <mergeCell ref="Q116:S116"/>
    <mergeCell ref="Q126:S126"/>
    <mergeCell ref="B123:D123"/>
    <mergeCell ref="J123:L123"/>
    <mergeCell ref="Q123:S123"/>
    <mergeCell ref="B124:D124"/>
    <mergeCell ref="J124:L124"/>
    <mergeCell ref="Q124:S124"/>
    <mergeCell ref="B120:D120"/>
    <mergeCell ref="J120:L120"/>
    <mergeCell ref="Q120:S120"/>
    <mergeCell ref="B121:G121"/>
    <mergeCell ref="J121:O121"/>
    <mergeCell ref="B122:D122"/>
    <mergeCell ref="J122:L122"/>
    <mergeCell ref="Q122:S122"/>
    <mergeCell ref="B132:F132"/>
    <mergeCell ref="J132:N132"/>
    <mergeCell ref="Q132:U132"/>
    <mergeCell ref="J133:N133"/>
    <mergeCell ref="J108:X108"/>
    <mergeCell ref="B130:D130"/>
    <mergeCell ref="J130:L130"/>
    <mergeCell ref="Q130:S130"/>
    <mergeCell ref="B131:D131"/>
    <mergeCell ref="J131:L131"/>
    <mergeCell ref="Q131:S131"/>
    <mergeCell ref="B127:D127"/>
    <mergeCell ref="J127:L127"/>
    <mergeCell ref="Q127:S127"/>
    <mergeCell ref="B128:G128"/>
    <mergeCell ref="J128:O128"/>
    <mergeCell ref="B129:D129"/>
    <mergeCell ref="J129:L129"/>
    <mergeCell ref="Q129:S129"/>
    <mergeCell ref="B125:D125"/>
    <mergeCell ref="J125:L125"/>
    <mergeCell ref="Q125:S125"/>
    <mergeCell ref="B126:D126"/>
    <mergeCell ref="J126:L126"/>
  </mergeCells>
  <pageMargins left="0.25" right="0.25" top="0.28999999999999998" bottom="0.34" header="0.3" footer="0.3"/>
  <pageSetup paperSize="9" scale="66" fitToHeight="0" orientation="portrait" r:id="rId1"/>
  <rowBreaks count="2" manualBreakCount="2">
    <brk id="53" min="8" max="23" man="1"/>
    <brk id="94" min="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11</vt:i4>
      </vt:variant>
    </vt:vector>
  </HeadingPairs>
  <TitlesOfParts>
    <vt:vector size="22" baseType="lpstr">
      <vt:lpstr>Encarregado </vt:lpstr>
      <vt:lpstr>Aux Limpeza 800m</vt:lpstr>
      <vt:lpstr>Aux Limpeza Ins 20% 800m</vt:lpstr>
      <vt:lpstr>Aux Limpeza Ins 40% 800m</vt:lpstr>
      <vt:lpstr>Campus,Cs Est, Museu,CAUA 1 800</vt:lpstr>
      <vt:lpstr>Aux Limpeza 1200m</vt:lpstr>
      <vt:lpstr>Aux Limpeza Ins 20% 1200m</vt:lpstr>
      <vt:lpstr>Aux Limpeza Ins 40% 1200m</vt:lpstr>
      <vt:lpstr>Campus,Cs Est, Museu,CAUA1 1200</vt:lpstr>
      <vt:lpstr>Materiais </vt:lpstr>
      <vt:lpstr>Equipamentos</vt:lpstr>
      <vt:lpstr>'Aux Limpeza 1200m'!Area_de_impressao</vt:lpstr>
      <vt:lpstr>'Aux Limpeza 800m'!Area_de_impressao</vt:lpstr>
      <vt:lpstr>'Aux Limpeza Ins 20% 1200m'!Area_de_impressao</vt:lpstr>
      <vt:lpstr>'Aux Limpeza Ins 20% 800m'!Area_de_impressao</vt:lpstr>
      <vt:lpstr>'Aux Limpeza Ins 40% 1200m'!Area_de_impressao</vt:lpstr>
      <vt:lpstr>'Aux Limpeza Ins 40% 800m'!Area_de_impressao</vt:lpstr>
      <vt:lpstr>'Campus,Cs Est, Museu,CAUA 1 800'!Area_de_impressao</vt:lpstr>
      <vt:lpstr>'Campus,Cs Est, Museu,CAUA1 1200'!Area_de_impressao</vt:lpstr>
      <vt:lpstr>'Encarregado '!Area_de_impressao</vt:lpstr>
      <vt:lpstr>Equipamentos!Area_de_impressao</vt:lpstr>
      <vt:lpstr>'Materiais 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proplan2</dc:creator>
  <cp:lastModifiedBy>Usuário</cp:lastModifiedBy>
  <cp:lastPrinted>2024-10-15T21:26:28Z</cp:lastPrinted>
  <dcterms:created xsi:type="dcterms:W3CDTF">2014-07-03T15:27:13Z</dcterms:created>
  <dcterms:modified xsi:type="dcterms:W3CDTF">2024-12-03T17:31:22Z</dcterms:modified>
</cp:coreProperties>
</file>