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180" tabRatio="699"/>
  </bookViews>
  <sheets>
    <sheet name="Almoxarife 44h" sheetId="41" r:id="rId1"/>
    <sheet name="Copeiro 44h" sheetId="38" r:id="rId2"/>
    <sheet name="Carregador 44h" sheetId="44" r:id="rId3"/>
    <sheet name="Operador de Som 44h" sheetId="45" r:id="rId4"/>
    <sheet name="Equipamentos Uso Coletivo" sheetId="26" r:id="rId5"/>
    <sheet name="Materiais" sheetId="47" r:id="rId6"/>
    <sheet name="Cálculo dos Auxílios" sheetId="43" r:id="rId7"/>
    <sheet name="calculo dias uteis" sheetId="48" r:id="rId8"/>
    <sheet name="Uniformes" sheetId="46" r:id="rId9"/>
    <sheet name="Resumo" sheetId="9" r:id="rId10"/>
  </sheets>
  <definedNames>
    <definedName name="_xlnm.Print_Area" localSheetId="0">'Almoxarife 44h'!$A$1:$E$192</definedName>
    <definedName name="_xlnm.Print_Area" localSheetId="2">'Carregador 44h'!$A$1:$E$196</definedName>
    <definedName name="_xlnm.Print_Area" localSheetId="1">'Copeiro 44h'!$A$1:$E$193</definedName>
    <definedName name="_xlnm.Print_Area" localSheetId="3">'Operador de Som 44h'!$A$1:$E$192</definedName>
    <definedName name="_xlnm.Print_Area" localSheetId="9">Resumo!$A$1:$G$25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46"/>
  <c r="G43"/>
  <c r="G42"/>
  <c r="F42"/>
  <c r="G41"/>
  <c r="F41"/>
  <c r="G40"/>
  <c r="G39"/>
  <c r="F39"/>
  <c r="G38"/>
  <c r="G34"/>
  <c r="G33"/>
  <c r="F33"/>
  <c r="G32"/>
  <c r="F32"/>
  <c r="G31"/>
  <c r="G30"/>
  <c r="F30"/>
  <c r="G29"/>
  <c r="G28"/>
  <c r="G27"/>
  <c r="G26"/>
  <c r="F26"/>
  <c r="G25"/>
  <c r="F25"/>
  <c r="G20"/>
  <c r="G19"/>
  <c r="F19"/>
  <c r="G18"/>
  <c r="G17"/>
  <c r="G16"/>
  <c r="F16"/>
  <c r="G15"/>
  <c r="F15"/>
  <c r="G10"/>
  <c r="G9"/>
  <c r="F9"/>
  <c r="G8"/>
  <c r="G7"/>
  <c r="G6"/>
  <c r="F6"/>
  <c r="G5"/>
  <c r="F5"/>
  <c r="C16" i="48"/>
  <c r="F15"/>
  <c r="F14"/>
  <c r="F13"/>
  <c r="F12"/>
  <c r="F11"/>
  <c r="F10"/>
  <c r="F9"/>
  <c r="F8"/>
  <c r="F7"/>
  <c r="F6"/>
  <c r="F5"/>
  <c r="F4"/>
  <c r="F26" i="43"/>
  <c r="F25"/>
  <c r="F24"/>
  <c r="F23"/>
  <c r="C17"/>
  <c r="D17" s="1"/>
  <c r="F17" s="1"/>
  <c r="G17" s="1"/>
  <c r="I17" s="1"/>
  <c r="G26" s="1"/>
  <c r="H26" s="1"/>
  <c r="I26" s="1"/>
  <c r="C16"/>
  <c r="D16" s="1"/>
  <c r="F16" s="1"/>
  <c r="G16" s="1"/>
  <c r="I16" s="1"/>
  <c r="G25" s="1"/>
  <c r="H25" s="1"/>
  <c r="I25" s="1"/>
  <c r="C15"/>
  <c r="D15" s="1"/>
  <c r="F15" s="1"/>
  <c r="G15" s="1"/>
  <c r="I15" s="1"/>
  <c r="G24" s="1"/>
  <c r="H24" s="1"/>
  <c r="I24" s="1"/>
  <c r="C14"/>
  <c r="D14" s="1"/>
  <c r="F14" s="1"/>
  <c r="G14" s="1"/>
  <c r="I14" s="1"/>
  <c r="G23" s="1"/>
  <c r="H23" s="1"/>
  <c r="I23" s="1"/>
  <c r="G8"/>
  <c r="F8"/>
  <c r="D8"/>
  <c r="G7"/>
  <c r="F7"/>
  <c r="D7"/>
  <c r="G6"/>
  <c r="F6"/>
  <c r="D6"/>
  <c r="G5"/>
  <c r="F5"/>
  <c r="D5"/>
  <c r="G7" i="47"/>
  <c r="G6"/>
  <c r="H5"/>
  <c r="G5"/>
  <c r="F5"/>
  <c r="G7" i="26"/>
  <c r="G6"/>
  <c r="H5"/>
  <c r="G5"/>
  <c r="F5"/>
  <c r="C173" i="45"/>
  <c r="C172"/>
  <c r="C171"/>
  <c r="C170"/>
  <c r="E152"/>
  <c r="E151"/>
  <c r="E150"/>
  <c r="E149"/>
  <c r="C146"/>
  <c r="C174" s="1"/>
  <c r="C175" s="1"/>
  <c r="C144"/>
  <c r="C142"/>
  <c r="E139"/>
  <c r="E138"/>
  <c r="E137"/>
  <c r="E136"/>
  <c r="E135"/>
  <c r="E134"/>
  <c r="E133"/>
  <c r="C126"/>
  <c r="C125"/>
  <c r="C124"/>
  <c r="C111"/>
  <c r="C109"/>
  <c r="C108"/>
  <c r="C107"/>
  <c r="C106"/>
  <c r="C105"/>
  <c r="D98"/>
  <c r="D97"/>
  <c r="D96"/>
  <c r="D95"/>
  <c r="C93"/>
  <c r="C92"/>
  <c r="C91"/>
  <c r="C90"/>
  <c r="C89"/>
  <c r="C88"/>
  <c r="C87"/>
  <c r="C81"/>
  <c r="C80"/>
  <c r="C79"/>
  <c r="C78"/>
  <c r="C72"/>
  <c r="C69"/>
  <c r="C68"/>
  <c r="D62"/>
  <c r="C62"/>
  <c r="D61"/>
  <c r="D60"/>
  <c r="D59"/>
  <c r="D58"/>
  <c r="D57"/>
  <c r="D56"/>
  <c r="D55"/>
  <c r="D54"/>
  <c r="D50"/>
  <c r="D49"/>
  <c r="D48"/>
  <c r="C46"/>
  <c r="C45"/>
  <c r="C44"/>
  <c r="C36"/>
  <c r="C177" i="44"/>
  <c r="C176"/>
  <c r="C175"/>
  <c r="C174"/>
  <c r="E156"/>
  <c r="E155"/>
  <c r="E154"/>
  <c r="E153"/>
  <c r="C148"/>
  <c r="C147"/>
  <c r="C150" s="1"/>
  <c r="C146"/>
  <c r="E143"/>
  <c r="E142"/>
  <c r="E141"/>
  <c r="E140"/>
  <c r="E139"/>
  <c r="E138"/>
  <c r="E137"/>
  <c r="E136"/>
  <c r="E135"/>
  <c r="E134"/>
  <c r="E133"/>
  <c r="C126"/>
  <c r="C125"/>
  <c r="C124"/>
  <c r="C111"/>
  <c r="C109"/>
  <c r="C108"/>
  <c r="C107"/>
  <c r="C106"/>
  <c r="C105"/>
  <c r="D98"/>
  <c r="D97"/>
  <c r="D96"/>
  <c r="D95"/>
  <c r="C93"/>
  <c r="C92"/>
  <c r="C91"/>
  <c r="C90"/>
  <c r="C89"/>
  <c r="C88"/>
  <c r="C87"/>
  <c r="C81"/>
  <c r="C80"/>
  <c r="C79"/>
  <c r="C78"/>
  <c r="C72"/>
  <c r="C70"/>
  <c r="C69"/>
  <c r="C68"/>
  <c r="D62"/>
  <c r="C62"/>
  <c r="D61"/>
  <c r="D60"/>
  <c r="D59"/>
  <c r="D58"/>
  <c r="D57"/>
  <c r="D56"/>
  <c r="D55"/>
  <c r="D54"/>
  <c r="D50"/>
  <c r="D49"/>
  <c r="D48"/>
  <c r="C46"/>
  <c r="C45"/>
  <c r="C44"/>
  <c r="C36"/>
  <c r="C174" i="38"/>
  <c r="C173"/>
  <c r="C172"/>
  <c r="C171"/>
  <c r="E153"/>
  <c r="E152"/>
  <c r="E151"/>
  <c r="E150"/>
  <c r="C147"/>
  <c r="C175" s="1"/>
  <c r="C176" s="1"/>
  <c r="C145"/>
  <c r="C143"/>
  <c r="E140"/>
  <c r="E139"/>
  <c r="E138"/>
  <c r="E137"/>
  <c r="E136"/>
  <c r="E135"/>
  <c r="E134"/>
  <c r="E133"/>
  <c r="C126"/>
  <c r="C125"/>
  <c r="C124"/>
  <c r="C111"/>
  <c r="C109"/>
  <c r="C108"/>
  <c r="C107"/>
  <c r="C106"/>
  <c r="C105"/>
  <c r="D98"/>
  <c r="D97"/>
  <c r="D96"/>
  <c r="D95"/>
  <c r="C93"/>
  <c r="C92"/>
  <c r="C91"/>
  <c r="C90"/>
  <c r="C89"/>
  <c r="C88"/>
  <c r="C87"/>
  <c r="C81"/>
  <c r="C80"/>
  <c r="C79"/>
  <c r="C78"/>
  <c r="C72"/>
  <c r="C69"/>
  <c r="C68"/>
  <c r="D62"/>
  <c r="C62"/>
  <c r="D61"/>
  <c r="D60"/>
  <c r="D59"/>
  <c r="D58"/>
  <c r="D57"/>
  <c r="D56"/>
  <c r="D55"/>
  <c r="D54"/>
  <c r="D50"/>
  <c r="D49"/>
  <c r="D48"/>
  <c r="C46"/>
  <c r="C45"/>
  <c r="C44"/>
  <c r="C36"/>
  <c r="C173" i="41"/>
  <c r="C172"/>
  <c r="C171"/>
  <c r="C170"/>
  <c r="E153"/>
  <c r="E154" s="1"/>
  <c r="E152"/>
  <c r="E151"/>
  <c r="E150"/>
  <c r="E149"/>
  <c r="C146"/>
  <c r="C174" s="1"/>
  <c r="C175" s="1"/>
  <c r="C144"/>
  <c r="C142"/>
  <c r="E139"/>
  <c r="E138"/>
  <c r="E137"/>
  <c r="E136"/>
  <c r="E135"/>
  <c r="E134"/>
  <c r="E133"/>
  <c r="C126"/>
  <c r="C125"/>
  <c r="C124"/>
  <c r="C111"/>
  <c r="C109"/>
  <c r="C108"/>
  <c r="C107"/>
  <c r="C106"/>
  <c r="C105"/>
  <c r="D98"/>
  <c r="D97"/>
  <c r="D96"/>
  <c r="D95"/>
  <c r="C93"/>
  <c r="C92"/>
  <c r="C91"/>
  <c r="C90"/>
  <c r="C89"/>
  <c r="C88"/>
  <c r="C87"/>
  <c r="C81"/>
  <c r="C80"/>
  <c r="C79"/>
  <c r="C78"/>
  <c r="C72"/>
  <c r="C69"/>
  <c r="C68"/>
  <c r="D62"/>
  <c r="C62"/>
  <c r="D61"/>
  <c r="D60"/>
  <c r="D59"/>
  <c r="D58"/>
  <c r="D57"/>
  <c r="D56"/>
  <c r="D55"/>
  <c r="D54"/>
  <c r="D50"/>
  <c r="D49"/>
  <c r="D48"/>
  <c r="C46"/>
  <c r="C45"/>
  <c r="C44"/>
  <c r="C36"/>
  <c r="E157" i="44" l="1"/>
  <c r="E158" s="1"/>
  <c r="C178"/>
  <c r="C179" s="1"/>
  <c r="D159" i="38"/>
  <c r="D160" s="1"/>
  <c r="D158" i="45"/>
  <c r="D158" i="41"/>
  <c r="E154" i="38"/>
  <c r="E155" s="1"/>
  <c r="E153" i="45"/>
  <c r="E154" s="1"/>
  <c r="D162" i="44" l="1"/>
  <c r="E161" i="38"/>
  <c r="D159" i="45"/>
  <c r="E160" s="1"/>
  <c r="D159" i="41"/>
  <c r="E160" s="1"/>
  <c r="D163" i="45" l="1"/>
  <c r="D161"/>
  <c r="D164" s="1"/>
  <c r="C176" s="1"/>
  <c r="C177" s="1"/>
  <c r="D9" i="9" s="1"/>
  <c r="D162" i="45"/>
  <c r="D163" i="38"/>
  <c r="D164"/>
  <c r="D162"/>
  <c r="D163" i="44"/>
  <c r="E164" s="1"/>
  <c r="D161" i="41"/>
  <c r="D164" s="1"/>
  <c r="C176" s="1"/>
  <c r="C177" s="1"/>
  <c r="D6" i="9" s="1"/>
  <c r="D162" i="41"/>
  <c r="D163"/>
  <c r="D165" i="44" l="1"/>
  <c r="D168" s="1"/>
  <c r="C180" s="1"/>
  <c r="C181" s="1"/>
  <c r="D8" i="9" s="1"/>
  <c r="D166" i="44"/>
  <c r="D167"/>
  <c r="D165" i="38"/>
  <c r="C177" s="1"/>
  <c r="C178" s="1"/>
  <c r="D7" i="9" s="1"/>
  <c r="E9"/>
  <c r="G9" s="1"/>
  <c r="F9"/>
  <c r="E6"/>
  <c r="F6"/>
  <c r="E8" l="1"/>
  <c r="G8" s="1"/>
  <c r="F8"/>
  <c r="F7"/>
  <c r="E7"/>
  <c r="G7" s="1"/>
  <c r="G6"/>
  <c r="G10" l="1"/>
  <c r="E10"/>
</calcChain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charset val="134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charset val="134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charset val="134"/>
          </rPr>
          <t>DD/MM/AAAA</t>
        </r>
      </text>
    </comment>
    <comment ref="C10" authorId="0">
      <text>
        <r>
          <rPr>
            <sz val="10"/>
            <rFont val="Arial"/>
            <charset val="134"/>
          </rPr>
          <t>Nome do local onde será executado o serviço.</t>
        </r>
      </text>
    </comment>
    <comment ref="C11" authorId="0">
      <text>
        <r>
          <rPr>
            <sz val="10"/>
            <rFont val="Arial"/>
            <charset val="134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charset val="134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charset val="134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charset val="134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charset val="134"/>
          </rPr>
          <t>Quantitativo da unidade de medida do tipo de serviço.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charset val="134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charset val="134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charset val="134"/>
          </rPr>
          <t>DD/MM/AAAA</t>
        </r>
      </text>
    </comment>
    <comment ref="C10" authorId="0">
      <text>
        <r>
          <rPr>
            <sz val="10"/>
            <rFont val="Arial"/>
            <charset val="134"/>
          </rPr>
          <t>Nome do local onde será executado o serviço.</t>
        </r>
      </text>
    </comment>
    <comment ref="C11" authorId="0">
      <text>
        <r>
          <rPr>
            <sz val="10"/>
            <rFont val="Arial"/>
            <charset val="134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charset val="134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charset val="134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charset val="134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charset val="134"/>
          </rPr>
          <t>Quantitativo da unidade de medida do tipo de serviço.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charset val="134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charset val="134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charset val="134"/>
          </rPr>
          <t>DD/MM/AAAA</t>
        </r>
      </text>
    </comment>
    <comment ref="C10" authorId="0">
      <text>
        <r>
          <rPr>
            <sz val="10"/>
            <rFont val="Arial"/>
            <charset val="134"/>
          </rPr>
          <t>Nome do local onde será executado o serviço.</t>
        </r>
      </text>
    </comment>
    <comment ref="C11" authorId="0">
      <text>
        <r>
          <rPr>
            <sz val="10"/>
            <rFont val="Arial"/>
            <charset val="134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charset val="134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charset val="134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charset val="134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charset val="134"/>
          </rPr>
          <t>Quantitativo da unidade de medida do tipo de serviço.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charset val="134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charset val="134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charset val="134"/>
          </rPr>
          <t>DD/MM/AAAA</t>
        </r>
      </text>
    </comment>
    <comment ref="C10" authorId="0">
      <text>
        <r>
          <rPr>
            <sz val="10"/>
            <rFont val="Arial"/>
            <charset val="134"/>
          </rPr>
          <t>Nome do local onde será executado o serviço.</t>
        </r>
      </text>
    </comment>
    <comment ref="C11" authorId="0">
      <text>
        <r>
          <rPr>
            <sz val="10"/>
            <rFont val="Arial"/>
            <charset val="134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charset val="134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charset val="134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charset val="134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charset val="134"/>
          </rPr>
          <t>Quantitativo da unidade de medida do tipo de serviço.</t>
        </r>
      </text>
    </comment>
  </commentList>
</comments>
</file>

<file path=xl/sharedStrings.xml><?xml version="1.0" encoding="utf-8"?>
<sst xmlns="http://schemas.openxmlformats.org/spreadsheetml/2006/main" count="1079" uniqueCount="249">
  <si>
    <t>PLANILHA DE CUSTOS E FORMAÇÃO DE PREÇOS</t>
  </si>
  <si>
    <t>MODELO PARA A CONSOLIDAÇÃO E APRESENTAÇÃO DE PROPOSTAS</t>
  </si>
  <si>
    <t>Com ajustes após publicação da Lei n° 13.467, de 2017.</t>
  </si>
  <si>
    <t>Nº Processo:</t>
  </si>
  <si>
    <t>23105.002772/2024-99</t>
  </si>
  <si>
    <t>Licitação Nº:</t>
  </si>
  <si>
    <t>Dia:</t>
  </si>
  <si>
    <t>DISCRIMINAÇÃO DOS SERVIÇOS (DADOS REFERENTE À CONTRATAÇÃO)</t>
  </si>
  <si>
    <t>A</t>
  </si>
  <si>
    <t>Data de apresentação da proposta (dia/mês/ano)</t>
  </si>
  <si>
    <t>B</t>
  </si>
  <si>
    <t>Município/UF:</t>
  </si>
  <si>
    <t>Manaus/AM</t>
  </si>
  <si>
    <t>C</t>
  </si>
  <si>
    <t>Ano, Acordo, Convenção ou Sentença Normativa em Dissídio Coletivo:</t>
  </si>
  <si>
    <t>AM000563/2023</t>
  </si>
  <si>
    <t>D</t>
  </si>
  <si>
    <t>Nº de meses de execução contratual:</t>
  </si>
  <si>
    <t>IDENTIFICAÇÃO DO SERVIÇO</t>
  </si>
  <si>
    <t>Tipo de Serviço</t>
  </si>
  <si>
    <t>Unidade de Medida</t>
  </si>
  <si>
    <t>Quantidade (total) a contratar (em função da unidade de medida)</t>
  </si>
  <si>
    <t>Almoxarife</t>
  </si>
  <si>
    <t>Posto</t>
  </si>
  <si>
    <t>Almoxarife (44 horas)</t>
  </si>
  <si>
    <t>MÃO-DE-OBRA VINCULADA À EXECUÇÃO CONTRATUAL</t>
  </si>
  <si>
    <t>Dados complementares para composição dos custos referente à mão-de-obra</t>
  </si>
  <si>
    <t>Tipo de serviço (mesmo serviço com características distintas):</t>
  </si>
  <si>
    <t>Salário Normativo da categoria profissional:</t>
  </si>
  <si>
    <t>Categoria profissional (vinculada à execução contratual):</t>
  </si>
  <si>
    <t>Almoxarife - 44 horas semanais</t>
  </si>
  <si>
    <t>Data base da categoria (dia/mês/ano):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</si>
  <si>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</si>
  <si>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</si>
  <si>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</si>
  <si>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</si>
  <si>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</si>
  <si>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</si>
  <si>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</si>
  <si>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</si>
  <si>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</si>
  <si>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F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</si>
  <si>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</si>
  <si>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</si>
  <si>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</si>
  <si>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</si>
  <si>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</si>
  <si>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</si>
  <si>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</si>
  <si>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</si>
  <si>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BASE DE CALCULO PARA O MÓDULO 2.2</t>
  </si>
  <si>
    <t>MÓDULO 1</t>
  </si>
  <si>
    <t>MÓDULO 2.1</t>
  </si>
  <si>
    <t>TOTAL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</si>
  <si>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</si>
  <si>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</si>
  <si>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</si>
  <si>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</si>
  <si>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</si>
  <si>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</si>
  <si>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</si>
  <si>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</si>
  <si>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</si>
  <si>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SEBRAE</t>
  </si>
  <si>
    <t>G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</si>
  <si>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</si>
  <si>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</si>
  <si>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</si>
  <si>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</si>
  <si>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</si>
  <si>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</si>
  <si>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</si>
  <si>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</si>
  <si>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</si>
  <si>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Cesta Básica</t>
  </si>
  <si>
    <t>Assistência Social e Familiar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</si>
  <si>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</si>
  <si>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</si>
  <si>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</si>
  <si>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</si>
  <si>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</si>
  <si>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</si>
  <si>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sobre o Aviso Prévio Indenizado</t>
  </si>
  <si>
    <t>Aviso Prévio Trabalhado</t>
  </si>
  <si>
    <t>Incidência de GPS, FGTS e outras contribuições sobre o Aviso Prévio Trabalhado</t>
  </si>
  <si>
    <t>Multa do FGTS sobre o Aviso Prévio Trabalhado</t>
  </si>
  <si>
    <t>BASE DE CÁLCULO PARA O MÓDULO 4 = MÓDULO 1 + MÓDULO 2 + MÓDULO 3</t>
  </si>
  <si>
    <t>MÓDULO 2</t>
  </si>
  <si>
    <t>MÓDULO 3</t>
  </si>
  <si>
    <t>Módulo 4 - Custo de Reposição do Profissional Ausente</t>
  </si>
  <si>
    <t>Submódulo 4.1 - Substituto nas Ausências Legais</t>
  </si>
  <si>
    <t>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</si>
  <si>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</si>
  <si>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</si>
  <si>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</si>
  <si>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</si>
  <si>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</si>
  <si>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</si>
  <si>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</si>
  <si>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Substituto na Intrajornada</t>
  </si>
  <si>
    <t>4.2</t>
  </si>
  <si>
    <t>Substituto na Intrajornada</t>
  </si>
  <si>
    <t>Substituto na cobertura de 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</si>
  <si>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</si>
  <si>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</si>
  <si>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</si>
  <si>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 xml:space="preserve">UNIFORMES - VALOR ANUAL </t>
  </si>
  <si>
    <t>Nº</t>
  </si>
  <si>
    <t>Item</t>
  </si>
  <si>
    <t>qte</t>
  </si>
  <si>
    <t>Vr. Unitario</t>
  </si>
  <si>
    <t>Valor</t>
  </si>
  <si>
    <t>camisas de mangas curtas, em brim leve ou Oxford;</t>
  </si>
  <si>
    <t>calças, em brim leve ou Oxford;</t>
  </si>
  <si>
    <t>pares de meias tipo soquete, em algodão;</t>
  </si>
  <si>
    <t>par de sapatos tipo botina;</t>
  </si>
  <si>
    <t>cinto com fivela, em couro.</t>
  </si>
  <si>
    <t xml:space="preserve">Custo anual por Empregado  </t>
  </si>
  <si>
    <t xml:space="preserve">Custo mensal por Empregado  </t>
  </si>
  <si>
    <t>Insumos Diversos</t>
  </si>
  <si>
    <t>Uniformes</t>
  </si>
  <si>
    <t>Materiais</t>
  </si>
  <si>
    <t>Equipamentos</t>
  </si>
  <si>
    <t>Custos Indiretos</t>
  </si>
  <si>
    <t>BASE DE CÁLCULO PARA O MÓDULO 6 = MÓDULO 1 + MÓDULO 2 + MÓDULO 3 + MÓDULO 4 + MÓDULO 5</t>
  </si>
  <si>
    <t>MÓDULO 4</t>
  </si>
  <si>
    <t>MÓDULO 5</t>
  </si>
  <si>
    <t>Módulo 6 - Custos Indiretos, Tributos e Lucro</t>
  </si>
  <si>
    <t>Custos Indiretos, Tributos e Lucro</t>
  </si>
  <si>
    <t>Lucro</t>
  </si>
  <si>
    <t>Tributos</t>
  </si>
  <si>
    <t>C.1. Tributos Federais (PIS)</t>
  </si>
  <si>
    <t>C.2. Tributos Federais (COFINS)</t>
  </si>
  <si>
    <t>C.3. Tributos Municipais (ISS)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</si>
  <si>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</si>
  <si>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</si>
  <si>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</si>
  <si>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</si>
  <si>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</si>
  <si>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Copeiro</t>
  </si>
  <si>
    <t>Copeiro (44 horas)</t>
  </si>
  <si>
    <t>Copeiro - 44 horas semanais</t>
  </si>
  <si>
    <t>blusas sem gola, com dois bolsos em tecido Oxford;</t>
  </si>
  <si>
    <t>saias ou calças, em tecido Oxford;</t>
  </si>
  <si>
    <t>toucas em tecido de rede (filó);</t>
  </si>
  <si>
    <t>aventais impermeáveis;</t>
  </si>
  <si>
    <t xml:space="preserve">par de sapatos tipo “boneca” em couro maleável e de boa qualidade, na cor preta - não sintético; </t>
  </si>
  <si>
    <t>pares de meias em algodão na cor branca.</t>
  </si>
  <si>
    <t>AM000271/2024</t>
  </si>
  <si>
    <t>Carregador/Ajudante de carga e descarga</t>
  </si>
  <si>
    <t>Carregador/Ajudante de
 carga e descarga (44 horas)</t>
  </si>
  <si>
    <t>Carregador/Ajudante de
 carga e descarga - 44 horas semanais</t>
  </si>
  <si>
    <t>óculos de proteção;</t>
  </si>
  <si>
    <t>pares de luva de proteção com palma antiderrapante</t>
  </si>
  <si>
    <t xml:space="preserve">capacete de segurança tipo classe B com suspensão; </t>
  </si>
  <si>
    <t xml:space="preserve">cinta ergonômica lombar com suspensório - EPI. </t>
  </si>
  <si>
    <t>Operador de Som</t>
  </si>
  <si>
    <t>Operador de Som (44 horas)</t>
  </si>
  <si>
    <t>Operador de Som - 44 horas semanais</t>
  </si>
  <si>
    <t>Pesquisa Equipamentos Estimados USO COLETIVO - Fundação Universidade do Amazonas</t>
  </si>
  <si>
    <t>ITEM</t>
  </si>
  <si>
    <t>ESPECIFICAÇÃO DOS EQUIPAMENTOS</t>
  </si>
  <si>
    <t>UNIDADE</t>
  </si>
  <si>
    <t>QTDE ESTIMADA ANUAL</t>
  </si>
  <si>
    <t>VIDA ÚTIL MENSAL</t>
  </si>
  <si>
    <t>PREÇO MÉDIO</t>
  </si>
  <si>
    <t>VALOR MENSAL 
POR EMPREGADO</t>
  </si>
  <si>
    <t>UNITÁRIO</t>
  </si>
  <si>
    <t xml:space="preserve">TOTAL </t>
  </si>
  <si>
    <t>Relógio de ponto eletrônico com 
leitura biométrica com bateria interna, 
incluso software para controle de 
ponto, treinamento, instalação, 
configuração do equipamento e 
bobina de papel. Homologado pelo 
Ministério do Trabalho, segundo
decreto nº 10.854/2021 e portaria 671/2021.</t>
  </si>
  <si>
    <t>unidade</t>
  </si>
  <si>
    <t xml:space="preserve">Valor Total Mensal </t>
  </si>
  <si>
    <t>Valor Total Mensal por empregado</t>
  </si>
  <si>
    <t>Materiais a serem disponibilizados ao CARREGADOR - Fundação Universidade do Amazonas</t>
  </si>
  <si>
    <t>Carro de Carga com 2 rodas com 
Capacidade 200Kg</t>
  </si>
  <si>
    <t>AUXÍLIO-ALIMENTAÇÃO</t>
  </si>
  <si>
    <t>Posto de Trabalho</t>
  </si>
  <si>
    <t>Valor Unitário (R$)</t>
  </si>
  <si>
    <t>% de subsídio PAT ou CCT (R$)</t>
  </si>
  <si>
    <t>Dias Úteis</t>
  </si>
  <si>
    <t>Total período (R$)</t>
  </si>
  <si>
    <t>Total Mensal (R$)</t>
  </si>
  <si>
    <t>Almoxarife - 44h</t>
  </si>
  <si>
    <t>Copeiro - 44h</t>
  </si>
  <si>
    <t>Operador de som - 44h</t>
  </si>
  <si>
    <t>Carregador - 44h</t>
  </si>
  <si>
    <t>VALE-TRANSPORTE</t>
  </si>
  <si>
    <t>salario</t>
  </si>
  <si>
    <t>12 meses (12*salário)</t>
  </si>
  <si>
    <t>dias úteis no ano</t>
  </si>
  <si>
    <t>resultado (12 meses / dias úteis)</t>
  </si>
  <si>
    <t>6% * resultado</t>
  </si>
  <si>
    <t>dias trabalhados no ano</t>
  </si>
  <si>
    <t>participação funcionario (anual)</t>
  </si>
  <si>
    <t>valor do vale transporte</t>
  </si>
  <si>
    <t>quantidade diaria</t>
  </si>
  <si>
    <t>dias úteis</t>
  </si>
  <si>
    <t xml:space="preserve">resultado  </t>
  </si>
  <si>
    <t>participação do funcionario</t>
  </si>
  <si>
    <t>participação da empresa</t>
  </si>
  <si>
    <t>participação da empresa (mensal)</t>
  </si>
  <si>
    <t>mês</t>
  </si>
  <si>
    <t>Nº de dias úteis 2ª a 6ª Feira</t>
  </si>
  <si>
    <t>Nº de sábados</t>
  </si>
  <si>
    <t>Nº de dias domingos e feriados</t>
  </si>
  <si>
    <t xml:space="preserve">dias </t>
  </si>
  <si>
    <t>dez/24</t>
  </si>
  <si>
    <t>fev/25</t>
  </si>
  <si>
    <t>abr/25</t>
  </si>
  <si>
    <t>mai/25</t>
  </si>
  <si>
    <t>ago/25</t>
  </si>
  <si>
    <t>set/25</t>
  </si>
  <si>
    <t>total</t>
  </si>
  <si>
    <t>ALMOXARIFE</t>
  </si>
  <si>
    <t>ITENS</t>
  </si>
  <si>
    <t>ESPECIFICAÇÃO</t>
  </si>
  <si>
    <t xml:space="preserve">QUANTIDADE ANUAL
</t>
  </si>
  <si>
    <t>VALOR UNITARIO</t>
  </si>
  <si>
    <t>VALOR TOTAL</t>
  </si>
  <si>
    <r>
      <rPr>
        <sz val="11"/>
        <color rgb="FF000000"/>
        <rFont val="Arial"/>
        <charset val="134"/>
      </rPr>
      <t>camisas de mangas curtas, em brim leve ou Oxford;</t>
    </r>
  </si>
  <si>
    <r>
      <rPr>
        <sz val="11"/>
        <color rgb="FF000000"/>
        <rFont val="Arial"/>
        <charset val="134"/>
      </rPr>
      <t>calças, em brim leve ou Oxford;</t>
    </r>
  </si>
  <si>
    <r>
      <rPr>
        <sz val="11"/>
        <color rgb="FF000000"/>
        <rFont val="Arial"/>
        <charset val="134"/>
      </rPr>
      <t>pares de meias tipo soquete, em algodão;</t>
    </r>
  </si>
  <si>
    <t>par</t>
  </si>
  <si>
    <r>
      <rPr>
        <sz val="11"/>
        <color rgb="FF000000"/>
        <rFont val="Arial"/>
        <charset val="134"/>
      </rPr>
      <t>par de sapatos tipo botina;</t>
    </r>
  </si>
  <si>
    <r>
      <rPr>
        <sz val="11"/>
        <color rgb="FF000000"/>
        <rFont val="Arial"/>
        <charset val="134"/>
      </rPr>
      <t>cinto com fivela, em couro.</t>
    </r>
  </si>
  <si>
    <t>OPERADOR DE SOM</t>
  </si>
  <si>
    <t>par de sapatos tipo bota de segurança;</t>
  </si>
  <si>
    <t>CARREGADOR</t>
  </si>
  <si>
    <t>óculos de proteção</t>
  </si>
  <si>
    <t>pares de luva de proteção com palma antiderrapante;</t>
  </si>
  <si>
    <t>capacete de segurança tipo classe B com suspensão;</t>
  </si>
  <si>
    <t>cinta ergonômica lombar com suspensório - EPI.</t>
  </si>
  <si>
    <t>COPEIRO</t>
  </si>
  <si>
    <t xml:space="preserve">blusas sem gola, com dois bolsos em tecido Oxford; </t>
  </si>
  <si>
    <t xml:space="preserve">saias ou calças, em tecido Oxford; </t>
  </si>
  <si>
    <t xml:space="preserve">toucas em tecido de rede (filó); </t>
  </si>
  <si>
    <t xml:space="preserve">aventais impermeáveis; </t>
  </si>
  <si>
    <t xml:space="preserve">par de sapatos tipo “boneca” em couro maleável e de boa 
qualidade, na cor preta - não sintético; </t>
  </si>
  <si>
    <t>ANEXO I -PLANILHA RESUMO ADMINISTRAÇÃO - VALORES MÁXIMOS</t>
  </si>
  <si>
    <t>Tipo</t>
  </si>
  <si>
    <t xml:space="preserve">Quantidade Postos </t>
  </si>
  <si>
    <t>Valor Unitário Máximo Mensal</t>
  </si>
  <si>
    <t>Valor Total Máximo Mensal</t>
  </si>
  <si>
    <t>Valor Unitário Máximo Anual</t>
  </si>
  <si>
    <t>Valor Global Máximo Anual</t>
  </si>
  <si>
    <t>Operador de Som - 44h</t>
  </si>
  <si>
    <t>De acordo com o entendimento do TCU no Acórdão n° 1.186/2017 - Plenário, a Administração “deve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12.506/2011” Enunciado do Boletim de Jurisprudência n° 176/2017).</t>
  </si>
  <si>
    <t>Os licitantes, quando tributados pelo regime de incidência não-cumulativa de PIS e COFINS, deverão cotar na planilha de custos e formação de preços (que detalham os componentes dos seus custos) as alíquotas médias efetivamente recolhidas dessas contribuições.</t>
  </si>
  <si>
    <t>Servidor responsável pela elaboração: Marcelo Sadao Kise - assistente em administração - coordenação Compras/DEMAT</t>
  </si>
</sst>
</file>

<file path=xl/styles.xml><?xml version="1.0" encoding="utf-8"?>
<styleSheet xmlns="http://schemas.openxmlformats.org/spreadsheetml/2006/main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&quot;R$&quot;\ #,##0.00"/>
    <numFmt numFmtId="166" formatCode="&quot;R$&quot;#,##0.00"/>
    <numFmt numFmtId="167" formatCode="0.00_ "/>
    <numFmt numFmtId="168" formatCode="0_ "/>
    <numFmt numFmtId="169" formatCode="dd/mm/yy"/>
    <numFmt numFmtId="170" formatCode="[$R$-416]\ #,##0.00;[Red]\-[$R$-416]\ #,##0.00"/>
  </numFmts>
  <fonts count="1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FF"/>
      <name val="Calibri"/>
      <charset val="134"/>
      <scheme val="minor"/>
    </font>
    <font>
      <sz val="12"/>
      <color theme="1"/>
      <name val="Times New Roman"/>
      <charset val="134"/>
    </font>
    <font>
      <sz val="12"/>
      <color theme="1"/>
      <name val="Calibri"/>
      <charset val="134"/>
      <scheme val="minor"/>
    </font>
    <font>
      <sz val="11"/>
      <color rgb="FF000000"/>
      <name val="Arial"/>
      <charset val="134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</font>
    <font>
      <sz val="10"/>
      <color rgb="FF000000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Times New Roman"/>
      <charset val="134"/>
    </font>
    <font>
      <sz val="10"/>
      <color theme="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4506668294322"/>
        <bgColor indexed="41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2">
    <xf numFmtId="0" fontId="0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0"/>
    <xf numFmtId="164" fontId="14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1" fillId="2" borderId="10" xfId="0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44" fontId="1" fillId="0" borderId="10" xfId="1" applyFont="1" applyBorder="1" applyAlignment="1">
      <alignment horizontal="center" vertical="center"/>
    </xf>
    <xf numFmtId="44" fontId="1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44" fontId="1" fillId="0" borderId="10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justify" vertical="center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4" borderId="10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 wrapText="1"/>
    </xf>
    <xf numFmtId="9" fontId="1" fillId="0" borderId="10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167" fontId="1" fillId="0" borderId="19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1" applyNumberFormat="1" applyBorder="1" applyAlignment="1">
      <alignment horizontal="center"/>
    </xf>
    <xf numFmtId="0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7" fontId="0" fillId="0" borderId="10" xfId="1" applyNumberFormat="1" applyBorder="1" applyAlignment="1">
      <alignment horizontal="center"/>
    </xf>
    <xf numFmtId="167" fontId="0" fillId="0" borderId="10" xfId="0" applyNumberFormat="1" applyBorder="1" applyAlignment="1">
      <alignment horizontal="center" vertical="center"/>
    </xf>
    <xf numFmtId="0" fontId="0" fillId="0" borderId="19" xfId="1" applyNumberFormat="1" applyBorder="1" applyAlignment="1">
      <alignment horizontal="center"/>
    </xf>
    <xf numFmtId="0" fontId="0" fillId="0" borderId="19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7" fontId="0" fillId="0" borderId="19" xfId="0" applyNumberFormat="1" applyBorder="1" applyAlignment="1">
      <alignment horizontal="center" vertical="center"/>
    </xf>
    <xf numFmtId="0" fontId="0" fillId="0" borderId="0" xfId="0" applyBorder="1"/>
    <xf numFmtId="0" fontId="0" fillId="0" borderId="17" xfId="0" applyBorder="1" applyAlignment="1">
      <alignment horizontal="center" vertical="center" wrapText="1"/>
    </xf>
    <xf numFmtId="167" fontId="0" fillId="0" borderId="17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167" fontId="0" fillId="0" borderId="17" xfId="0" applyNumberFormat="1" applyBorder="1" applyAlignment="1">
      <alignment horizontal="center" vertical="center"/>
    </xf>
    <xf numFmtId="167" fontId="0" fillId="0" borderId="20" xfId="0" applyNumberForma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4" fontId="1" fillId="0" borderId="10" xfId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8" fontId="8" fillId="8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" fillId="0" borderId="10" xfId="0" applyFont="1" applyBorder="1"/>
    <xf numFmtId="0" fontId="2" fillId="0" borderId="10" xfId="0" applyFont="1" applyBorder="1" applyAlignment="1">
      <alignment vertical="center"/>
    </xf>
    <xf numFmtId="169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wrapText="1"/>
    </xf>
    <xf numFmtId="0" fontId="1" fillId="10" borderId="0" xfId="0" applyFont="1" applyFill="1"/>
    <xf numFmtId="0" fontId="9" fillId="10" borderId="0" xfId="0" applyFont="1" applyFill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3" fontId="2" fillId="10" borderId="10" xfId="0" applyNumberFormat="1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/>
    </xf>
    <xf numFmtId="165" fontId="1" fillId="13" borderId="10" xfId="0" applyNumberFormat="1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 wrapText="1"/>
    </xf>
    <xf numFmtId="165" fontId="1" fillId="13" borderId="10" xfId="0" applyNumberFormat="1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165" fontId="1" fillId="13" borderId="1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0" fontId="1" fillId="0" borderId="24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165" fontId="12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justify" vertical="center" wrapText="1"/>
    </xf>
    <xf numFmtId="165" fontId="1" fillId="13" borderId="10" xfId="0" applyNumberFormat="1" applyFont="1" applyFill="1" applyBorder="1"/>
    <xf numFmtId="0" fontId="1" fillId="0" borderId="24" xfId="0" applyFont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/>
    </xf>
    <xf numFmtId="0" fontId="9" fillId="15" borderId="28" xfId="0" applyFont="1" applyFill="1" applyBorder="1" applyAlignment="1">
      <alignment horizontal="center" vertical="center"/>
    </xf>
    <xf numFmtId="164" fontId="9" fillId="15" borderId="29" xfId="4" applyFont="1" applyFill="1" applyBorder="1" applyAlignment="1">
      <alignment horizontal="center" vertical="center"/>
    </xf>
    <xf numFmtId="164" fontId="9" fillId="15" borderId="3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166" fontId="1" fillId="0" borderId="10" xfId="1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 vertical="center"/>
    </xf>
    <xf numFmtId="0" fontId="9" fillId="15" borderId="33" xfId="0" applyFont="1" applyFill="1" applyBorder="1" applyAlignment="1">
      <alignment horizontal="center" vertical="center"/>
    </xf>
    <xf numFmtId="4" fontId="9" fillId="15" borderId="34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10" fontId="1" fillId="0" borderId="24" xfId="2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vertical="center" wrapText="1"/>
    </xf>
    <xf numFmtId="3" fontId="9" fillId="1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166" fontId="1" fillId="0" borderId="10" xfId="1" applyNumberFormat="1" applyFont="1" applyBorder="1" applyAlignment="1">
      <alignment horizontal="center" vertical="center"/>
    </xf>
    <xf numFmtId="0" fontId="11" fillId="9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9" fillId="10" borderId="0" xfId="0" applyFont="1" applyFill="1" applyAlignment="1">
      <alignment horizontal="center" vertical="center" wrapText="1"/>
    </xf>
    <xf numFmtId="14" fontId="1" fillId="10" borderId="10" xfId="0" applyNumberFormat="1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14" fontId="1" fillId="10" borderId="10" xfId="0" applyNumberFormat="1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left" vertical="center"/>
    </xf>
    <xf numFmtId="170" fontId="1" fillId="10" borderId="10" xfId="0" applyNumberFormat="1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14" borderId="25" xfId="0" applyFont="1" applyFill="1" applyBorder="1" applyAlignment="1">
      <alignment horizontal="center" vertical="center"/>
    </xf>
    <xf numFmtId="0" fontId="1" fillId="14" borderId="26" xfId="0" applyFont="1" applyFill="1" applyBorder="1" applyAlignment="1">
      <alignment horizontal="center" vertical="center"/>
    </xf>
    <xf numFmtId="0" fontId="1" fillId="14" borderId="22" xfId="0" applyFont="1" applyFill="1" applyBorder="1" applyAlignment="1">
      <alignment horizontal="center" vertical="center"/>
    </xf>
    <xf numFmtId="0" fontId="9" fillId="15" borderId="0" xfId="0" applyFont="1" applyFill="1" applyAlignment="1">
      <alignment horizontal="center" vertical="center"/>
    </xf>
    <xf numFmtId="0" fontId="9" fillId="15" borderId="27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8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44" fontId="1" fillId="0" borderId="10" xfId="1" applyFont="1" applyFill="1" applyBorder="1" applyAlignment="1">
      <alignment horizontal="center" vertical="center"/>
    </xf>
    <xf numFmtId="167" fontId="1" fillId="0" borderId="17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center" wrapText="1"/>
    </xf>
  </cellXfs>
  <cellStyles count="12">
    <cellStyle name="Moeda" xfId="1" builtinId="4"/>
    <cellStyle name="Normal" xfId="0" builtinId="0"/>
    <cellStyle name="Normal 2" xfId="3"/>
    <cellStyle name="Porcentagem" xfId="2" builtinId="5"/>
    <cellStyle name="Vírgula 2" xfId="4"/>
    <cellStyle name="Vírgula 3" xfId="5"/>
    <cellStyle name="Vírgula 3 2" xfId="6"/>
    <cellStyle name="Vírgula 4" xfId="7"/>
    <cellStyle name="Vírgula 4 2" xfId="8"/>
    <cellStyle name="Vírgula 5" xfId="9"/>
    <cellStyle name="Vírgula 5 2" xfId="10"/>
    <cellStyle name="Vírgula 6" xfId="1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2"/>
  <sheetViews>
    <sheetView showGridLines="0" tabSelected="1" zoomScale="90" zoomScaleNormal="90" workbookViewId="0">
      <selection activeCell="I15" sqref="I15"/>
    </sheetView>
  </sheetViews>
  <sheetFormatPr defaultColWidth="9.140625" defaultRowHeight="15.75"/>
  <cols>
    <col min="1" max="1" width="14.140625" style="76" customWidth="1"/>
    <col min="2" max="2" width="71" style="76" customWidth="1"/>
    <col min="3" max="3" width="12.42578125" style="76" customWidth="1"/>
    <col min="4" max="4" width="19.140625" style="76" customWidth="1"/>
    <col min="5" max="5" width="10.5703125" style="76" customWidth="1"/>
    <col min="6" max="6" width="12" style="76" customWidth="1"/>
    <col min="7" max="7" width="15.140625" style="76" customWidth="1"/>
    <col min="8" max="16384" width="9.140625" style="76"/>
  </cols>
  <sheetData>
    <row r="1" spans="1:5">
      <c r="A1" s="129" t="s">
        <v>0</v>
      </c>
      <c r="B1" s="129"/>
      <c r="C1" s="129"/>
      <c r="D1" s="129"/>
      <c r="E1" s="74"/>
    </row>
    <row r="2" spans="1:5">
      <c r="A2" s="129" t="s">
        <v>1</v>
      </c>
      <c r="B2" s="129"/>
      <c r="C2" s="129"/>
      <c r="D2" s="129"/>
      <c r="E2" s="74"/>
    </row>
    <row r="3" spans="1:5">
      <c r="A3" s="130" t="s">
        <v>2</v>
      </c>
      <c r="B3" s="130"/>
      <c r="C3" s="130"/>
      <c r="D3" s="130"/>
      <c r="E3" s="74"/>
    </row>
    <row r="4" spans="1:5">
      <c r="A4" s="80" t="s">
        <v>3</v>
      </c>
      <c r="B4" s="81" t="s">
        <v>4</v>
      </c>
      <c r="C4" s="79"/>
      <c r="D4" s="79"/>
      <c r="E4" s="74"/>
    </row>
    <row r="5" spans="1:5">
      <c r="A5" s="80" t="s">
        <v>5</v>
      </c>
      <c r="B5" s="82"/>
      <c r="C5" s="79"/>
      <c r="D5" s="79"/>
      <c r="E5" s="74"/>
    </row>
    <row r="6" spans="1:5">
      <c r="A6" s="83" t="s">
        <v>6</v>
      </c>
      <c r="B6" s="83"/>
      <c r="C6" s="79"/>
      <c r="D6" s="79"/>
      <c r="E6" s="74"/>
    </row>
    <row r="7" spans="1:5">
      <c r="A7" s="84"/>
      <c r="B7" s="84"/>
      <c r="C7" s="79"/>
      <c r="D7" s="79"/>
      <c r="E7" s="74"/>
    </row>
    <row r="8" spans="1:5">
      <c r="A8" s="131" t="s">
        <v>7</v>
      </c>
      <c r="B8" s="131"/>
      <c r="C8" s="131"/>
      <c r="D8" s="131"/>
      <c r="E8" s="131"/>
    </row>
    <row r="9" spans="1:5">
      <c r="A9" s="85" t="s">
        <v>8</v>
      </c>
      <c r="B9" s="86" t="s">
        <v>9</v>
      </c>
      <c r="C9" s="132"/>
      <c r="D9" s="132"/>
      <c r="E9" s="132"/>
    </row>
    <row r="10" spans="1:5">
      <c r="A10" s="85" t="s">
        <v>10</v>
      </c>
      <c r="B10" s="86" t="s">
        <v>11</v>
      </c>
      <c r="C10" s="133" t="s">
        <v>12</v>
      </c>
      <c r="D10" s="133"/>
      <c r="E10" s="133"/>
    </row>
    <row r="11" spans="1:5">
      <c r="A11" s="85" t="s">
        <v>13</v>
      </c>
      <c r="B11" s="86" t="s">
        <v>14</v>
      </c>
      <c r="C11" s="133" t="s">
        <v>15</v>
      </c>
      <c r="D11" s="133"/>
      <c r="E11" s="133"/>
    </row>
    <row r="12" spans="1:5">
      <c r="A12" s="85" t="s">
        <v>16</v>
      </c>
      <c r="B12" s="86" t="s">
        <v>17</v>
      </c>
      <c r="C12" s="133">
        <v>12</v>
      </c>
      <c r="D12" s="133"/>
      <c r="E12" s="133"/>
    </row>
    <row r="13" spans="1:5">
      <c r="A13" s="87"/>
      <c r="B13" s="87"/>
      <c r="C13" s="87"/>
      <c r="D13" s="87"/>
      <c r="E13" s="87"/>
    </row>
    <row r="14" spans="1:5">
      <c r="A14" s="134" t="s">
        <v>18</v>
      </c>
      <c r="B14" s="134"/>
      <c r="C14" s="134"/>
      <c r="D14" s="88"/>
      <c r="E14" s="87"/>
    </row>
    <row r="15" spans="1:5" ht="28.15" customHeight="1">
      <c r="A15" s="85" t="s">
        <v>19</v>
      </c>
      <c r="B15" s="85" t="s">
        <v>20</v>
      </c>
      <c r="C15" s="135" t="s">
        <v>21</v>
      </c>
      <c r="D15" s="135"/>
      <c r="E15" s="135"/>
    </row>
    <row r="16" spans="1:5" ht="38.25" customHeight="1">
      <c r="A16" s="89" t="s">
        <v>22</v>
      </c>
      <c r="B16" s="85" t="s">
        <v>23</v>
      </c>
      <c r="C16" s="136" t="s">
        <v>24</v>
      </c>
      <c r="D16" s="136"/>
      <c r="E16" s="90">
        <v>3</v>
      </c>
    </row>
    <row r="17" spans="1:5">
      <c r="A17" s="87"/>
      <c r="B17" s="87"/>
      <c r="C17" s="87"/>
      <c r="D17" s="87"/>
      <c r="E17" s="87"/>
    </row>
    <row r="18" spans="1:5">
      <c r="A18" s="134" t="s">
        <v>25</v>
      </c>
      <c r="B18" s="134"/>
      <c r="C18" s="134"/>
      <c r="D18" s="134"/>
      <c r="E18" s="134"/>
    </row>
    <row r="19" spans="1:5">
      <c r="A19" s="137" t="s">
        <v>26</v>
      </c>
      <c r="B19" s="137"/>
      <c r="C19" s="137"/>
      <c r="D19" s="137"/>
      <c r="E19" s="137"/>
    </row>
    <row r="20" spans="1:5">
      <c r="A20" s="85">
        <v>1</v>
      </c>
      <c r="B20" s="91" t="s">
        <v>27</v>
      </c>
      <c r="C20" s="135" t="s">
        <v>24</v>
      </c>
      <c r="D20" s="135"/>
      <c r="E20" s="135"/>
    </row>
    <row r="21" spans="1:5">
      <c r="A21" s="85">
        <v>2</v>
      </c>
      <c r="B21" s="92" t="s">
        <v>28</v>
      </c>
      <c r="C21" s="138">
        <v>1647.73</v>
      </c>
      <c r="D21" s="138"/>
      <c r="E21" s="138"/>
    </row>
    <row r="22" spans="1:5" ht="15.6" customHeight="1">
      <c r="A22" s="85">
        <v>3</v>
      </c>
      <c r="B22" s="92" t="s">
        <v>29</v>
      </c>
      <c r="C22" s="139" t="s">
        <v>30</v>
      </c>
      <c r="D22" s="139"/>
      <c r="E22" s="139"/>
    </row>
    <row r="23" spans="1:5">
      <c r="A23" s="85">
        <v>4</v>
      </c>
      <c r="B23" s="92" t="s">
        <v>31</v>
      </c>
      <c r="C23" s="132">
        <v>45292</v>
      </c>
      <c r="D23" s="132"/>
      <c r="E23" s="132"/>
    </row>
    <row r="24" spans="1:5">
      <c r="A24" s="79"/>
      <c r="B24" s="79"/>
      <c r="C24" s="79"/>
      <c r="D24" s="79"/>
      <c r="E24" s="74"/>
    </row>
    <row r="25" spans="1:5">
      <c r="A25" s="74"/>
      <c r="B25" s="74"/>
      <c r="C25" s="74"/>
      <c r="D25" s="74"/>
      <c r="E25" s="74"/>
    </row>
    <row r="26" spans="1:5">
      <c r="A26" s="74"/>
      <c r="B26" s="74"/>
      <c r="C26" s="74"/>
      <c r="D26" s="74"/>
      <c r="E26" s="74"/>
    </row>
    <row r="27" spans="1:5">
      <c r="A27" s="140" t="s">
        <v>32</v>
      </c>
      <c r="B27" s="140"/>
      <c r="C27" s="140"/>
      <c r="D27" s="74"/>
      <c r="E27" s="74"/>
    </row>
    <row r="28" spans="1:5">
      <c r="A28" s="74"/>
      <c r="B28" s="74"/>
      <c r="C28" s="74"/>
      <c r="D28" s="74"/>
      <c r="E28" s="74"/>
    </row>
    <row r="29" spans="1:5">
      <c r="A29" s="93">
        <v>1</v>
      </c>
      <c r="B29" s="94" t="s">
        <v>33</v>
      </c>
      <c r="C29" s="94" t="s">
        <v>34</v>
      </c>
      <c r="D29" s="74"/>
      <c r="E29" s="74"/>
    </row>
    <row r="30" spans="1:5">
      <c r="A30" s="95" t="s">
        <v>8</v>
      </c>
      <c r="B30" s="96" t="s">
        <v>35</v>
      </c>
      <c r="C30" s="97">
        <v>1647.73</v>
      </c>
      <c r="D30" s="74"/>
      <c r="E30" s="74"/>
    </row>
    <row r="31" spans="1:5">
      <c r="A31" s="95" t="s">
        <v>10</v>
      </c>
      <c r="B31" s="96" t="s">
        <v>36</v>
      </c>
      <c r="C31" s="98"/>
      <c r="D31" s="74"/>
      <c r="E31" s="74"/>
    </row>
    <row r="32" spans="1:5">
      <c r="A32" s="95" t="s">
        <v>13</v>
      </c>
      <c r="B32" s="96" t="s">
        <v>37</v>
      </c>
      <c r="C32" s="98"/>
      <c r="D32" s="74"/>
      <c r="E32" s="74"/>
    </row>
    <row r="33" spans="1:5">
      <c r="A33" s="95" t="s">
        <v>16</v>
      </c>
      <c r="B33" s="96" t="s">
        <v>38</v>
      </c>
      <c r="C33" s="98"/>
      <c r="D33" s="74"/>
      <c r="E33" s="74"/>
    </row>
    <row r="34" spans="1:5">
      <c r="A34" s="95" t="s">
        <v>39</v>
      </c>
      <c r="B34" s="96" t="s">
        <v>40</v>
      </c>
      <c r="C34" s="98"/>
      <c r="D34" s="74"/>
      <c r="E34" s="74"/>
    </row>
    <row r="35" spans="1:5">
      <c r="A35" s="95" t="s">
        <v>41</v>
      </c>
      <c r="B35" s="96" t="s">
        <v>42</v>
      </c>
      <c r="C35" s="98"/>
      <c r="D35" s="74"/>
      <c r="E35" s="74"/>
    </row>
    <row r="36" spans="1:5">
      <c r="A36" s="141" t="s">
        <v>43</v>
      </c>
      <c r="B36" s="142"/>
      <c r="C36" s="98">
        <f>SUM(C30:C35)</f>
        <v>1647.73</v>
      </c>
      <c r="D36" s="74"/>
      <c r="E36" s="74"/>
    </row>
    <row r="37" spans="1:5">
      <c r="A37" s="74"/>
      <c r="B37" s="74"/>
      <c r="C37" s="74"/>
      <c r="D37" s="74"/>
      <c r="E37" s="74"/>
    </row>
    <row r="38" spans="1:5">
      <c r="A38" s="74"/>
      <c r="B38" s="74"/>
      <c r="C38" s="74"/>
      <c r="D38" s="74"/>
      <c r="E38" s="74"/>
    </row>
    <row r="39" spans="1:5">
      <c r="A39" s="140" t="s">
        <v>44</v>
      </c>
      <c r="B39" s="140"/>
      <c r="C39" s="140"/>
      <c r="D39" s="74"/>
      <c r="E39" s="74"/>
    </row>
    <row r="40" spans="1:5">
      <c r="A40" s="84"/>
      <c r="B40" s="74"/>
      <c r="C40" s="74"/>
      <c r="D40" s="74"/>
      <c r="E40" s="74"/>
    </row>
    <row r="41" spans="1:5">
      <c r="A41" s="143" t="s">
        <v>45</v>
      </c>
      <c r="B41" s="144"/>
      <c r="C41" s="145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93" t="s">
        <v>46</v>
      </c>
      <c r="B43" s="94" t="s">
        <v>47</v>
      </c>
      <c r="C43" s="94" t="s">
        <v>34</v>
      </c>
      <c r="D43" s="74"/>
      <c r="E43" s="74"/>
    </row>
    <row r="44" spans="1:5">
      <c r="A44" s="95" t="s">
        <v>8</v>
      </c>
      <c r="B44" s="96" t="s">
        <v>48</v>
      </c>
      <c r="C44" s="98">
        <f>TRUNC(C36*8.33%,2)</f>
        <v>137.25</v>
      </c>
      <c r="D44" s="74"/>
      <c r="E44" s="74"/>
    </row>
    <row r="45" spans="1:5">
      <c r="A45" s="95" t="s">
        <v>10</v>
      </c>
      <c r="B45" s="96" t="s">
        <v>49</v>
      </c>
      <c r="C45" s="98">
        <f>TRUNC(C36*12.1%,2)</f>
        <v>199.37</v>
      </c>
      <c r="D45" s="74"/>
      <c r="E45" s="74"/>
    </row>
    <row r="46" spans="1:5">
      <c r="A46" s="141" t="s">
        <v>43</v>
      </c>
      <c r="B46" s="142"/>
      <c r="C46" s="98">
        <f>SUM(C44:C45)</f>
        <v>336.62</v>
      </c>
      <c r="D46" s="74"/>
      <c r="E46" s="74"/>
    </row>
    <row r="47" spans="1:5">
      <c r="A47" s="74"/>
      <c r="B47" s="74"/>
      <c r="C47" s="74"/>
      <c r="D47" s="74"/>
      <c r="E47" s="74"/>
    </row>
    <row r="48" spans="1:5">
      <c r="A48" s="156" t="s">
        <v>50</v>
      </c>
      <c r="B48" s="156"/>
      <c r="C48" s="99" t="s">
        <v>51</v>
      </c>
      <c r="D48" s="100">
        <f>C36</f>
        <v>1647.73</v>
      </c>
      <c r="E48" s="74"/>
    </row>
    <row r="49" spans="1:6" ht="15.95" customHeight="1">
      <c r="A49" s="156"/>
      <c r="B49" s="156"/>
      <c r="C49" s="101" t="s">
        <v>52</v>
      </c>
      <c r="D49" s="102">
        <f>C46</f>
        <v>336.62</v>
      </c>
      <c r="E49" s="74"/>
    </row>
    <row r="50" spans="1:6" ht="18" customHeight="1">
      <c r="A50" s="157"/>
      <c r="B50" s="157"/>
      <c r="C50" s="103" t="s">
        <v>53</v>
      </c>
      <c r="D50" s="104">
        <f>SUM(D48:D49)</f>
        <v>1984.35</v>
      </c>
      <c r="E50" s="74"/>
      <c r="F50" s="105"/>
    </row>
    <row r="51" spans="1:6" ht="32.25" customHeight="1">
      <c r="A51" s="146" t="s">
        <v>54</v>
      </c>
      <c r="B51" s="147"/>
      <c r="C51" s="147"/>
      <c r="D51" s="148"/>
      <c r="E51" s="74"/>
    </row>
    <row r="52" spans="1:6">
      <c r="A52" s="74"/>
      <c r="B52" s="74"/>
      <c r="C52" s="74"/>
      <c r="D52" s="74"/>
      <c r="E52" s="74"/>
    </row>
    <row r="53" spans="1:6">
      <c r="A53" s="93" t="s">
        <v>55</v>
      </c>
      <c r="B53" s="94" t="s">
        <v>56</v>
      </c>
      <c r="C53" s="94" t="s">
        <v>57</v>
      </c>
      <c r="D53" s="94" t="s">
        <v>34</v>
      </c>
      <c r="E53" s="74"/>
    </row>
    <row r="54" spans="1:6">
      <c r="A54" s="95" t="s">
        <v>8</v>
      </c>
      <c r="B54" s="96" t="s">
        <v>58</v>
      </c>
      <c r="C54" s="106">
        <v>0.2</v>
      </c>
      <c r="D54" s="98">
        <f t="shared" ref="D54:D62" si="0">TRUNC(($C$36+$C$46)*C54,2)</f>
        <v>396.87</v>
      </c>
      <c r="E54" s="74"/>
    </row>
    <row r="55" spans="1:6">
      <c r="A55" s="95" t="s">
        <v>10</v>
      </c>
      <c r="B55" s="96" t="s">
        <v>59</v>
      </c>
      <c r="C55" s="106">
        <v>2.5000000000000001E-2</v>
      </c>
      <c r="D55" s="98">
        <f t="shared" si="0"/>
        <v>49.6</v>
      </c>
      <c r="E55" s="74"/>
    </row>
    <row r="56" spans="1:6">
      <c r="A56" s="95" t="s">
        <v>13</v>
      </c>
      <c r="B56" s="96" t="s">
        <v>60</v>
      </c>
      <c r="C56" s="106">
        <v>0.03</v>
      </c>
      <c r="D56" s="98">
        <f t="shared" si="0"/>
        <v>59.53</v>
      </c>
      <c r="E56" s="74"/>
    </row>
    <row r="57" spans="1:6">
      <c r="A57" s="95" t="s">
        <v>16</v>
      </c>
      <c r="B57" s="96" t="s">
        <v>61</v>
      </c>
      <c r="C57" s="106">
        <v>1.4999999999999999E-2</v>
      </c>
      <c r="D57" s="98">
        <f t="shared" si="0"/>
        <v>29.76</v>
      </c>
      <c r="E57" s="74"/>
    </row>
    <row r="58" spans="1:6">
      <c r="A58" s="95" t="s">
        <v>39</v>
      </c>
      <c r="B58" s="96" t="s">
        <v>62</v>
      </c>
      <c r="C58" s="106">
        <v>0.01</v>
      </c>
      <c r="D58" s="98">
        <f t="shared" si="0"/>
        <v>19.84</v>
      </c>
      <c r="E58" s="74"/>
    </row>
    <row r="59" spans="1:6">
      <c r="A59" s="95" t="s">
        <v>41</v>
      </c>
      <c r="B59" s="96" t="s">
        <v>63</v>
      </c>
      <c r="C59" s="106">
        <v>6.0000000000000001E-3</v>
      </c>
      <c r="D59" s="98">
        <f t="shared" si="0"/>
        <v>11.9</v>
      </c>
      <c r="E59" s="74"/>
    </row>
    <row r="60" spans="1:6">
      <c r="A60" s="95" t="s">
        <v>64</v>
      </c>
      <c r="B60" s="96" t="s">
        <v>65</v>
      </c>
      <c r="C60" s="106">
        <v>2E-3</v>
      </c>
      <c r="D60" s="98">
        <f t="shared" si="0"/>
        <v>3.96</v>
      </c>
      <c r="E60" s="74"/>
    </row>
    <row r="61" spans="1:6">
      <c r="A61" s="95" t="s">
        <v>66</v>
      </c>
      <c r="B61" s="96" t="s">
        <v>67</v>
      </c>
      <c r="C61" s="106">
        <v>0.08</v>
      </c>
      <c r="D61" s="98">
        <f t="shared" si="0"/>
        <v>158.74</v>
      </c>
      <c r="E61" s="74"/>
    </row>
    <row r="62" spans="1:6">
      <c r="A62" s="141" t="s">
        <v>68</v>
      </c>
      <c r="B62" s="142"/>
      <c r="C62" s="106">
        <f>SUM(C54:C61)</f>
        <v>0.36799999999999999</v>
      </c>
      <c r="D62" s="98">
        <f t="shared" si="0"/>
        <v>730.24</v>
      </c>
      <c r="E62" s="74"/>
    </row>
    <row r="63" spans="1:6">
      <c r="A63" s="74"/>
      <c r="B63" s="74"/>
      <c r="C63" s="74"/>
      <c r="D63" s="107"/>
      <c r="E63" s="74"/>
    </row>
    <row r="64" spans="1:6">
      <c r="A64" s="74"/>
      <c r="B64" s="74"/>
      <c r="C64" s="74"/>
      <c r="D64" s="74"/>
      <c r="E64" s="74"/>
    </row>
    <row r="65" spans="1:5">
      <c r="A65" s="143" t="s">
        <v>69</v>
      </c>
      <c r="B65" s="144"/>
      <c r="C65" s="145"/>
      <c r="D65" s="74"/>
      <c r="E65" s="74"/>
    </row>
    <row r="66" spans="1:5">
      <c r="A66" s="74"/>
      <c r="B66" s="74"/>
      <c r="C66" s="74"/>
      <c r="D66" s="74"/>
      <c r="E66" s="74"/>
    </row>
    <row r="67" spans="1:5">
      <c r="A67" s="93" t="s">
        <v>70</v>
      </c>
      <c r="B67" s="94" t="s">
        <v>71</v>
      </c>
      <c r="C67" s="94" t="s">
        <v>34</v>
      </c>
      <c r="D67" s="74"/>
      <c r="E67" s="74"/>
    </row>
    <row r="68" spans="1:5">
      <c r="A68" s="95" t="s">
        <v>8</v>
      </c>
      <c r="B68" s="96" t="s">
        <v>72</v>
      </c>
      <c r="C68" s="98">
        <f>TRUNC(((4.5*2*250)-((C36*6%)*12))/12,2)</f>
        <v>88.63</v>
      </c>
      <c r="D68" s="74"/>
      <c r="E68" s="74"/>
    </row>
    <row r="69" spans="1:5">
      <c r="A69" s="95" t="s">
        <v>10</v>
      </c>
      <c r="B69" s="96" t="s">
        <v>73</v>
      </c>
      <c r="C69" s="98">
        <f>((17*250)-(17*250*10%))/12</f>
        <v>318.75</v>
      </c>
      <c r="D69" s="74"/>
      <c r="E69" s="74"/>
    </row>
    <row r="70" spans="1:5">
      <c r="A70" s="95" t="s">
        <v>13</v>
      </c>
      <c r="B70" s="96" t="s">
        <v>74</v>
      </c>
      <c r="C70" s="108">
        <v>110</v>
      </c>
      <c r="D70" s="74"/>
      <c r="E70" s="74"/>
    </row>
    <row r="71" spans="1:5">
      <c r="A71" s="95" t="s">
        <v>16</v>
      </c>
      <c r="B71" s="96" t="s">
        <v>75</v>
      </c>
      <c r="C71" s="108"/>
      <c r="D71" s="74"/>
      <c r="E71" s="74"/>
    </row>
    <row r="72" spans="1:5">
      <c r="A72" s="141" t="s">
        <v>43</v>
      </c>
      <c r="B72" s="142"/>
      <c r="C72" s="98">
        <f>SUM(C68:C71)</f>
        <v>517.38</v>
      </c>
      <c r="D72" s="74"/>
      <c r="E72" s="74"/>
    </row>
    <row r="73" spans="1:5">
      <c r="A73" s="74"/>
      <c r="B73" s="74"/>
      <c r="C73" s="74"/>
      <c r="D73" s="74"/>
      <c r="E73" s="74"/>
    </row>
    <row r="74" spans="1:5">
      <c r="A74" s="74"/>
      <c r="B74" s="74"/>
      <c r="C74" s="74"/>
      <c r="D74" s="74"/>
      <c r="E74" s="74"/>
    </row>
    <row r="75" spans="1:5">
      <c r="A75" s="149" t="s">
        <v>76</v>
      </c>
      <c r="B75" s="150"/>
      <c r="C75" s="151"/>
      <c r="D75" s="74"/>
      <c r="E75" s="74"/>
    </row>
    <row r="76" spans="1:5">
      <c r="A76" s="74"/>
      <c r="B76" s="74"/>
      <c r="C76" s="74"/>
      <c r="D76" s="74"/>
      <c r="E76" s="74"/>
    </row>
    <row r="77" spans="1:5">
      <c r="A77" s="93">
        <v>2</v>
      </c>
      <c r="B77" s="94" t="s">
        <v>77</v>
      </c>
      <c r="C77" s="94" t="s">
        <v>34</v>
      </c>
      <c r="D77" s="74"/>
      <c r="E77" s="74"/>
    </row>
    <row r="78" spans="1:5">
      <c r="A78" s="95" t="s">
        <v>46</v>
      </c>
      <c r="B78" s="96" t="s">
        <v>47</v>
      </c>
      <c r="C78" s="98">
        <f>C46</f>
        <v>336.62</v>
      </c>
      <c r="D78" s="74"/>
      <c r="E78" s="74"/>
    </row>
    <row r="79" spans="1:5">
      <c r="A79" s="95" t="s">
        <v>55</v>
      </c>
      <c r="B79" s="96" t="s">
        <v>56</v>
      </c>
      <c r="C79" s="98">
        <f>D62</f>
        <v>730.24</v>
      </c>
      <c r="D79" s="74"/>
      <c r="E79" s="74"/>
    </row>
    <row r="80" spans="1:5">
      <c r="A80" s="95" t="s">
        <v>70</v>
      </c>
      <c r="B80" s="96" t="s">
        <v>71</v>
      </c>
      <c r="C80" s="98">
        <f>C72</f>
        <v>517.38</v>
      </c>
      <c r="D80" s="74"/>
      <c r="E80" s="74"/>
    </row>
    <row r="81" spans="1:5">
      <c r="A81" s="141" t="s">
        <v>43</v>
      </c>
      <c r="B81" s="142"/>
      <c r="C81" s="98">
        <f>SUM(C78:C80)</f>
        <v>1584.24</v>
      </c>
      <c r="D81" s="74"/>
      <c r="E81" s="74"/>
    </row>
    <row r="82" spans="1:5">
      <c r="A82" s="84"/>
      <c r="B82" s="74"/>
      <c r="C82" s="74"/>
      <c r="D82" s="74"/>
      <c r="E82" s="74"/>
    </row>
    <row r="83" spans="1:5">
      <c r="A83" s="74"/>
      <c r="B83" s="74"/>
      <c r="C83" s="74"/>
      <c r="D83" s="74"/>
      <c r="E83" s="74"/>
    </row>
    <row r="84" spans="1:5">
      <c r="A84" s="140" t="s">
        <v>78</v>
      </c>
      <c r="B84" s="140"/>
      <c r="C84" s="140"/>
      <c r="D84" s="74"/>
      <c r="E84" s="74"/>
    </row>
    <row r="85" spans="1:5">
      <c r="A85" s="74"/>
      <c r="B85" s="74"/>
      <c r="C85" s="107"/>
      <c r="D85" s="74"/>
      <c r="E85" s="74"/>
    </row>
    <row r="86" spans="1:5">
      <c r="A86" s="93">
        <v>3</v>
      </c>
      <c r="B86" s="94" t="s">
        <v>79</v>
      </c>
      <c r="C86" s="94" t="s">
        <v>34</v>
      </c>
      <c r="D86" s="74"/>
      <c r="E86" s="74"/>
    </row>
    <row r="87" spans="1:5">
      <c r="A87" s="95" t="s">
        <v>8</v>
      </c>
      <c r="B87" s="109" t="s">
        <v>80</v>
      </c>
      <c r="C87" s="98">
        <f>TRUNC(($C$36+$C$46+$D$62+$C$72)*(0.4167%),2)</f>
        <v>13.46</v>
      </c>
      <c r="D87" s="74"/>
      <c r="E87" s="74"/>
    </row>
    <row r="88" spans="1:5">
      <c r="A88" s="95" t="s">
        <v>10</v>
      </c>
      <c r="B88" s="109" t="s">
        <v>81</v>
      </c>
      <c r="C88" s="98">
        <f>TRUNC(C87*8%,2)</f>
        <v>1.07</v>
      </c>
      <c r="D88" s="107"/>
      <c r="E88" s="74"/>
    </row>
    <row r="89" spans="1:5">
      <c r="A89" s="95" t="s">
        <v>13</v>
      </c>
      <c r="B89" s="109" t="s">
        <v>82</v>
      </c>
      <c r="C89" s="98">
        <f>TRUNC(($C$36+$C$46+$D$62+$C$72)*(0.16%),2)</f>
        <v>5.17</v>
      </c>
      <c r="D89" s="107"/>
      <c r="E89" s="74"/>
    </row>
    <row r="90" spans="1:5">
      <c r="A90" s="95" t="s">
        <v>16</v>
      </c>
      <c r="B90" s="109" t="s">
        <v>83</v>
      </c>
      <c r="C90" s="98">
        <f>TRUNC(($C$36+$C$81)*(1.944%),2)</f>
        <v>62.82</v>
      </c>
      <c r="D90" s="74"/>
      <c r="E90" s="74"/>
    </row>
    <row r="91" spans="1:5">
      <c r="A91" s="95" t="s">
        <v>39</v>
      </c>
      <c r="B91" s="109" t="s">
        <v>84</v>
      </c>
      <c r="C91" s="98">
        <f>TRUNC($C$62*$C$90,2)</f>
        <v>23.11</v>
      </c>
      <c r="D91" s="74"/>
      <c r="E91" s="74"/>
    </row>
    <row r="92" spans="1:5">
      <c r="A92" s="95" t="s">
        <v>41</v>
      </c>
      <c r="B92" s="109" t="s">
        <v>85</v>
      </c>
      <c r="C92" s="98">
        <f>TRUNC(($C$36+$C$81)*(3.2%),2)</f>
        <v>103.42</v>
      </c>
      <c r="D92" s="107"/>
      <c r="E92" s="74"/>
    </row>
    <row r="93" spans="1:5">
      <c r="A93" s="141" t="s">
        <v>43</v>
      </c>
      <c r="B93" s="142"/>
      <c r="C93" s="98">
        <f>SUM(C87:C92)</f>
        <v>209.05</v>
      </c>
      <c r="D93" s="74"/>
      <c r="E93" s="74"/>
    </row>
    <row r="94" spans="1:5">
      <c r="A94" s="74"/>
      <c r="B94" s="74"/>
      <c r="C94" s="74"/>
      <c r="D94" s="74"/>
      <c r="E94" s="74"/>
    </row>
    <row r="95" spans="1:5">
      <c r="A95" s="156" t="s">
        <v>86</v>
      </c>
      <c r="B95" s="156"/>
      <c r="C95" s="99" t="s">
        <v>51</v>
      </c>
      <c r="D95" s="110">
        <f>C36</f>
        <v>1647.73</v>
      </c>
      <c r="E95" s="74"/>
    </row>
    <row r="96" spans="1:5">
      <c r="A96" s="156"/>
      <c r="B96" s="156"/>
      <c r="C96" s="99" t="s">
        <v>87</v>
      </c>
      <c r="D96" s="110">
        <f>C81</f>
        <v>1584.24</v>
      </c>
      <c r="E96" s="74"/>
    </row>
    <row r="97" spans="1:5">
      <c r="A97" s="156"/>
      <c r="B97" s="156"/>
      <c r="C97" s="99" t="s">
        <v>88</v>
      </c>
      <c r="D97" s="110">
        <f>C93</f>
        <v>209.05</v>
      </c>
      <c r="E97" s="74"/>
    </row>
    <row r="98" spans="1:5">
      <c r="A98" s="156"/>
      <c r="B98" s="156"/>
      <c r="C98" s="99" t="s">
        <v>53</v>
      </c>
      <c r="D98" s="110">
        <f>SUM(D95:D97)</f>
        <v>3441.02</v>
      </c>
      <c r="E98" s="74"/>
    </row>
    <row r="99" spans="1:5">
      <c r="A99" s="140" t="s">
        <v>89</v>
      </c>
      <c r="B99" s="140"/>
      <c r="C99" s="140"/>
      <c r="D99" s="74"/>
      <c r="E99" s="74"/>
    </row>
    <row r="100" spans="1:5">
      <c r="A100" s="74"/>
      <c r="B100" s="74"/>
      <c r="C100" s="74"/>
      <c r="D100" s="74"/>
      <c r="E100" s="74"/>
    </row>
    <row r="101" spans="1:5">
      <c r="A101" s="74"/>
      <c r="B101" s="74"/>
      <c r="C101" s="74"/>
      <c r="D101" s="74"/>
      <c r="E101" s="74"/>
    </row>
    <row r="102" spans="1:5">
      <c r="A102" s="143" t="s">
        <v>90</v>
      </c>
      <c r="B102" s="144"/>
      <c r="C102" s="145"/>
      <c r="D102" s="74"/>
      <c r="E102" s="74"/>
    </row>
    <row r="103" spans="1:5">
      <c r="A103" s="84"/>
      <c r="B103" s="74"/>
      <c r="C103" s="74"/>
      <c r="D103" s="74"/>
      <c r="E103" s="74"/>
    </row>
    <row r="104" spans="1:5">
      <c r="A104" s="93" t="s">
        <v>91</v>
      </c>
      <c r="B104" s="94" t="s">
        <v>92</v>
      </c>
      <c r="C104" s="94" t="s">
        <v>34</v>
      </c>
      <c r="D104" s="74"/>
      <c r="E104" s="74"/>
    </row>
    <row r="105" spans="1:5">
      <c r="A105" s="95" t="s">
        <v>8</v>
      </c>
      <c r="B105" s="96" t="s">
        <v>93</v>
      </c>
      <c r="C105" s="98">
        <f>TRUNC((C36+C81+C93)*0.926%,2)</f>
        <v>31.86</v>
      </c>
      <c r="D105" s="74"/>
      <c r="E105" s="74"/>
    </row>
    <row r="106" spans="1:5">
      <c r="A106" s="95" t="s">
        <v>10</v>
      </c>
      <c r="B106" s="96" t="s">
        <v>94</v>
      </c>
      <c r="C106" s="98">
        <f>TRUNC((C36+C81+C93)*0.556%,2)</f>
        <v>19.13</v>
      </c>
      <c r="D106" s="74"/>
      <c r="E106" s="74"/>
    </row>
    <row r="107" spans="1:5">
      <c r="A107" s="95" t="s">
        <v>13</v>
      </c>
      <c r="B107" s="96" t="s">
        <v>95</v>
      </c>
      <c r="C107" s="98">
        <f>TRUNC((C36+C81+C93)*0.028%,2)</f>
        <v>0.96</v>
      </c>
      <c r="D107" s="74"/>
      <c r="E107" s="74"/>
    </row>
    <row r="108" spans="1:5">
      <c r="A108" s="95" t="s">
        <v>16</v>
      </c>
      <c r="B108" s="96" t="s">
        <v>96</v>
      </c>
      <c r="C108" s="98">
        <f>TRUNC((C36+C81+C93)*0.333%,2)</f>
        <v>11.45</v>
      </c>
      <c r="D108" s="74"/>
      <c r="E108" s="74"/>
    </row>
    <row r="109" spans="1:5">
      <c r="A109" s="95" t="s">
        <v>39</v>
      </c>
      <c r="B109" s="96" t="s">
        <v>97</v>
      </c>
      <c r="C109" s="98">
        <f>TRUNC((C36+C81+C93)*0.056%,2)</f>
        <v>1.92</v>
      </c>
      <c r="D109" s="74"/>
      <c r="E109" s="74"/>
    </row>
    <row r="110" spans="1:5">
      <c r="A110" s="95" t="s">
        <v>41</v>
      </c>
      <c r="B110" s="96" t="s">
        <v>98</v>
      </c>
      <c r="C110" s="98"/>
      <c r="D110" s="74"/>
      <c r="E110" s="74"/>
    </row>
    <row r="111" spans="1:5">
      <c r="A111" s="141" t="s">
        <v>68</v>
      </c>
      <c r="B111" s="142"/>
      <c r="C111" s="98">
        <f>SUM(C105:C110)</f>
        <v>65.319999999999993</v>
      </c>
      <c r="D111" s="74"/>
      <c r="E111" s="74"/>
    </row>
    <row r="112" spans="1:5">
      <c r="A112" s="74"/>
      <c r="B112" s="74"/>
      <c r="C112" s="74"/>
      <c r="D112" s="74"/>
      <c r="E112" s="74"/>
    </row>
    <row r="113" spans="1:5">
      <c r="A113" s="74"/>
      <c r="B113" s="74"/>
      <c r="C113" s="74"/>
      <c r="D113" s="74"/>
      <c r="E113" s="74"/>
    </row>
    <row r="114" spans="1:5">
      <c r="A114" s="143" t="s">
        <v>99</v>
      </c>
      <c r="B114" s="144"/>
      <c r="C114" s="145"/>
      <c r="D114" s="74"/>
      <c r="E114" s="74"/>
    </row>
    <row r="115" spans="1:5">
      <c r="A115" s="84"/>
      <c r="B115" s="74"/>
      <c r="C115" s="74"/>
      <c r="D115" s="74"/>
      <c r="E115" s="74"/>
    </row>
    <row r="116" spans="1:5">
      <c r="A116" s="93" t="s">
        <v>100</v>
      </c>
      <c r="B116" s="94" t="s">
        <v>101</v>
      </c>
      <c r="C116" s="94" t="s">
        <v>34</v>
      </c>
      <c r="D116" s="74"/>
      <c r="E116" s="74"/>
    </row>
    <row r="117" spans="1:5">
      <c r="A117" s="95" t="s">
        <v>8</v>
      </c>
      <c r="B117" s="96" t="s">
        <v>102</v>
      </c>
      <c r="C117" s="111"/>
      <c r="D117" s="74"/>
      <c r="E117" s="74"/>
    </row>
    <row r="118" spans="1:5">
      <c r="A118" s="141" t="s">
        <v>43</v>
      </c>
      <c r="B118" s="142"/>
      <c r="C118" s="98">
        <v>0</v>
      </c>
      <c r="D118" s="74"/>
      <c r="E118" s="74"/>
    </row>
    <row r="119" spans="1:5">
      <c r="A119" s="74"/>
      <c r="B119" s="74"/>
      <c r="C119" s="74"/>
      <c r="D119" s="74"/>
      <c r="E119" s="74"/>
    </row>
    <row r="120" spans="1:5">
      <c r="A120" s="74"/>
      <c r="B120" s="74"/>
      <c r="C120" s="74"/>
      <c r="D120" s="74"/>
      <c r="E120" s="74"/>
    </row>
    <row r="121" spans="1:5">
      <c r="A121" s="149" t="s">
        <v>103</v>
      </c>
      <c r="B121" s="150"/>
      <c r="C121" s="151"/>
      <c r="D121" s="74"/>
      <c r="E121" s="74"/>
    </row>
    <row r="122" spans="1:5">
      <c r="A122" s="84"/>
      <c r="B122" s="74"/>
      <c r="C122" s="74"/>
      <c r="D122" s="74"/>
      <c r="E122" s="74"/>
    </row>
    <row r="123" spans="1:5">
      <c r="A123" s="93">
        <v>4</v>
      </c>
      <c r="B123" s="94" t="s">
        <v>104</v>
      </c>
      <c r="C123" s="94" t="s">
        <v>34</v>
      </c>
      <c r="D123" s="74"/>
      <c r="E123" s="74"/>
    </row>
    <row r="124" spans="1:5">
      <c r="A124" s="95" t="s">
        <v>91</v>
      </c>
      <c r="B124" s="96" t="s">
        <v>92</v>
      </c>
      <c r="C124" s="98">
        <f>C111</f>
        <v>65.319999999999993</v>
      </c>
      <c r="D124" s="74"/>
      <c r="E124" s="74"/>
    </row>
    <row r="125" spans="1:5">
      <c r="A125" s="95" t="s">
        <v>100</v>
      </c>
      <c r="B125" s="96" t="s">
        <v>101</v>
      </c>
      <c r="C125" s="98">
        <f>C118</f>
        <v>0</v>
      </c>
      <c r="D125" s="74"/>
      <c r="E125" s="74"/>
    </row>
    <row r="126" spans="1:5">
      <c r="A126" s="141" t="s">
        <v>43</v>
      </c>
      <c r="B126" s="142"/>
      <c r="C126" s="98">
        <f>SUM(C124:C125)</f>
        <v>65.319999999999993</v>
      </c>
      <c r="D126" s="74"/>
      <c r="E126" s="74"/>
    </row>
    <row r="127" spans="1:5">
      <c r="A127" s="74"/>
      <c r="B127" s="74"/>
      <c r="C127" s="74"/>
      <c r="D127" s="74"/>
      <c r="E127" s="74"/>
    </row>
    <row r="128" spans="1:5">
      <c r="A128" s="74"/>
      <c r="B128" s="74"/>
      <c r="C128" s="74"/>
      <c r="D128" s="74"/>
      <c r="E128" s="74"/>
    </row>
    <row r="129" spans="1:5">
      <c r="A129" s="140" t="s">
        <v>105</v>
      </c>
      <c r="B129" s="140"/>
      <c r="C129" s="140"/>
      <c r="D129" s="74"/>
      <c r="E129" s="74"/>
    </row>
    <row r="130" spans="1:5">
      <c r="A130" s="112"/>
      <c r="B130" s="112"/>
      <c r="C130" s="112"/>
      <c r="D130" s="74"/>
      <c r="E130" s="74"/>
    </row>
    <row r="131" spans="1:5">
      <c r="A131" s="152" t="s">
        <v>106</v>
      </c>
      <c r="B131" s="152"/>
      <c r="C131" s="152"/>
      <c r="D131" s="152"/>
      <c r="E131" s="153"/>
    </row>
    <row r="132" spans="1:5">
      <c r="A132" s="113" t="s">
        <v>107</v>
      </c>
      <c r="B132" s="113" t="s">
        <v>108</v>
      </c>
      <c r="C132" s="114" t="s">
        <v>109</v>
      </c>
      <c r="D132" s="114" t="s">
        <v>110</v>
      </c>
      <c r="E132" s="115" t="s">
        <v>111</v>
      </c>
    </row>
    <row r="133" spans="1:5">
      <c r="A133" s="93">
        <v>1</v>
      </c>
      <c r="B133" s="80" t="s">
        <v>112</v>
      </c>
      <c r="C133" s="116">
        <v>4</v>
      </c>
      <c r="D133" s="117">
        <v>23.46</v>
      </c>
      <c r="E133" s="118">
        <f>D133*C133</f>
        <v>93.84</v>
      </c>
    </row>
    <row r="134" spans="1:5">
      <c r="A134" s="95">
        <v>2</v>
      </c>
      <c r="B134" s="80" t="s">
        <v>113</v>
      </c>
      <c r="C134" s="116">
        <v>2</v>
      </c>
      <c r="D134" s="117">
        <v>37.72</v>
      </c>
      <c r="E134" s="118">
        <f>D134*C134</f>
        <v>75.44</v>
      </c>
    </row>
    <row r="135" spans="1:5">
      <c r="A135" s="95">
        <v>3</v>
      </c>
      <c r="B135" s="80" t="s">
        <v>114</v>
      </c>
      <c r="C135" s="116">
        <v>4</v>
      </c>
      <c r="D135" s="117">
        <v>7</v>
      </c>
      <c r="E135" s="118">
        <f>C135*D135</f>
        <v>28</v>
      </c>
    </row>
    <row r="136" spans="1:5">
      <c r="A136" s="95">
        <v>4</v>
      </c>
      <c r="B136" s="80" t="s">
        <v>115</v>
      </c>
      <c r="C136" s="116">
        <v>1</v>
      </c>
      <c r="D136" s="117">
        <v>47.6</v>
      </c>
      <c r="E136" s="118">
        <f>C136*D136</f>
        <v>47.6</v>
      </c>
    </row>
    <row r="137" spans="1:5">
      <c r="A137" s="95">
        <v>5</v>
      </c>
      <c r="B137" s="80" t="s">
        <v>116</v>
      </c>
      <c r="C137" s="116">
        <v>1</v>
      </c>
      <c r="D137" s="117">
        <v>58.99</v>
      </c>
      <c r="E137" s="118">
        <f>C137*D137</f>
        <v>58.99</v>
      </c>
    </row>
    <row r="138" spans="1:5">
      <c r="A138" s="154" t="s">
        <v>117</v>
      </c>
      <c r="B138" s="155"/>
      <c r="C138" s="119"/>
      <c r="D138" s="119"/>
      <c r="E138" s="120">
        <f>SUM(E133:E137)</f>
        <v>303.87</v>
      </c>
    </row>
    <row r="139" spans="1:5">
      <c r="A139" s="154" t="s">
        <v>118</v>
      </c>
      <c r="B139" s="155"/>
      <c r="C139" s="119"/>
      <c r="D139" s="119"/>
      <c r="E139" s="120">
        <f>E138/12</f>
        <v>25.322500000000002</v>
      </c>
    </row>
    <row r="140" spans="1:5">
      <c r="A140" s="112"/>
      <c r="B140" s="112"/>
      <c r="C140" s="112"/>
      <c r="D140" s="74"/>
      <c r="E140" s="74"/>
    </row>
    <row r="141" spans="1:5">
      <c r="A141" s="93">
        <v>5</v>
      </c>
      <c r="B141" s="121" t="s">
        <v>119</v>
      </c>
      <c r="C141" s="94" t="s">
        <v>34</v>
      </c>
      <c r="D141" s="74"/>
      <c r="E141" s="74"/>
    </row>
    <row r="142" spans="1:5">
      <c r="A142" s="95" t="s">
        <v>8</v>
      </c>
      <c r="B142" s="96" t="s">
        <v>120</v>
      </c>
      <c r="C142" s="98">
        <f>E139</f>
        <v>25.322500000000002</v>
      </c>
      <c r="D142" s="74"/>
      <c r="E142" s="74"/>
    </row>
    <row r="143" spans="1:5">
      <c r="A143" s="95" t="s">
        <v>10</v>
      </c>
      <c r="B143" s="96" t="s">
        <v>121</v>
      </c>
      <c r="C143" s="98">
        <v>0</v>
      </c>
      <c r="D143" s="74"/>
      <c r="E143" s="74"/>
    </row>
    <row r="144" spans="1:5">
      <c r="A144" s="95" t="s">
        <v>13</v>
      </c>
      <c r="B144" s="96" t="s">
        <v>122</v>
      </c>
      <c r="C144" s="98">
        <f>'Equipamentos Uso Coletivo'!G7</f>
        <v>2.82</v>
      </c>
      <c r="D144" s="74"/>
      <c r="E144" s="74"/>
    </row>
    <row r="145" spans="1:5">
      <c r="A145" s="95" t="s">
        <v>16</v>
      </c>
      <c r="B145" s="96" t="s">
        <v>123</v>
      </c>
      <c r="C145" s="98"/>
      <c r="D145" s="74"/>
      <c r="E145" s="74"/>
    </row>
    <row r="146" spans="1:5">
      <c r="A146" s="141" t="s">
        <v>68</v>
      </c>
      <c r="B146" s="142"/>
      <c r="C146" s="98">
        <f>SUM(C142:C145)</f>
        <v>28.142500000000002</v>
      </c>
      <c r="D146" s="74"/>
      <c r="E146" s="74"/>
    </row>
    <row r="147" spans="1:5">
      <c r="A147" s="74"/>
      <c r="B147" s="74"/>
      <c r="C147" s="74"/>
      <c r="D147" s="74"/>
      <c r="E147" s="74"/>
    </row>
    <row r="148" spans="1:5">
      <c r="A148" s="74"/>
      <c r="B148" s="74"/>
      <c r="C148" s="74"/>
      <c r="D148" s="74"/>
      <c r="E148" s="74"/>
    </row>
    <row r="149" spans="1:5">
      <c r="A149" s="156" t="s">
        <v>124</v>
      </c>
      <c r="B149" s="156"/>
      <c r="C149" s="156"/>
      <c r="D149" s="99" t="s">
        <v>51</v>
      </c>
      <c r="E149" s="100">
        <f>C36</f>
        <v>1647.73</v>
      </c>
    </row>
    <row r="150" spans="1:5">
      <c r="A150" s="156"/>
      <c r="B150" s="156"/>
      <c r="C150" s="156"/>
      <c r="D150" s="99" t="s">
        <v>87</v>
      </c>
      <c r="E150" s="100">
        <f>C81</f>
        <v>1584.24</v>
      </c>
    </row>
    <row r="151" spans="1:5">
      <c r="A151" s="156"/>
      <c r="B151" s="156"/>
      <c r="C151" s="156"/>
      <c r="D151" s="99" t="s">
        <v>88</v>
      </c>
      <c r="E151" s="100">
        <f>C93</f>
        <v>209.05</v>
      </c>
    </row>
    <row r="152" spans="1:5">
      <c r="A152" s="156"/>
      <c r="B152" s="156"/>
      <c r="C152" s="156"/>
      <c r="D152" s="99" t="s">
        <v>125</v>
      </c>
      <c r="E152" s="100">
        <f>C126</f>
        <v>65.319999999999993</v>
      </c>
    </row>
    <row r="153" spans="1:5">
      <c r="A153" s="156"/>
      <c r="B153" s="156"/>
      <c r="C153" s="156"/>
      <c r="D153" s="99" t="s">
        <v>126</v>
      </c>
      <c r="E153" s="100">
        <f>C146</f>
        <v>28.142500000000002</v>
      </c>
    </row>
    <row r="154" spans="1:5">
      <c r="A154" s="156"/>
      <c r="B154" s="156"/>
      <c r="C154" s="156"/>
      <c r="D154" s="99" t="s">
        <v>53</v>
      </c>
      <c r="E154" s="100">
        <f>SUM(E149:E153)</f>
        <v>3534.4825000000005</v>
      </c>
    </row>
    <row r="155" spans="1:5">
      <c r="A155" s="140" t="s">
        <v>127</v>
      </c>
      <c r="B155" s="140"/>
      <c r="C155" s="140"/>
      <c r="D155" s="74"/>
      <c r="E155" s="74"/>
    </row>
    <row r="156" spans="1:5">
      <c r="A156" s="74"/>
      <c r="B156" s="74"/>
      <c r="C156" s="74"/>
      <c r="D156" s="74"/>
      <c r="E156" s="74"/>
    </row>
    <row r="157" spans="1:5">
      <c r="A157" s="93">
        <v>6</v>
      </c>
      <c r="B157" s="121" t="s">
        <v>128</v>
      </c>
      <c r="C157" s="94" t="s">
        <v>57</v>
      </c>
      <c r="D157" s="94" t="s">
        <v>34</v>
      </c>
      <c r="E157" s="74"/>
    </row>
    <row r="158" spans="1:5">
      <c r="A158" s="95" t="s">
        <v>8</v>
      </c>
      <c r="B158" s="96" t="s">
        <v>123</v>
      </c>
      <c r="C158" s="122">
        <v>0.05</v>
      </c>
      <c r="D158" s="108">
        <f>C175*C158</f>
        <v>176.72400000000002</v>
      </c>
      <c r="E158" s="74"/>
    </row>
    <row r="159" spans="1:5">
      <c r="A159" s="95" t="s">
        <v>10</v>
      </c>
      <c r="B159" s="96" t="s">
        <v>129</v>
      </c>
      <c r="C159" s="122">
        <v>0.1</v>
      </c>
      <c r="D159" s="108">
        <f>(C175+D158)*C159</f>
        <v>371.12040000000002</v>
      </c>
      <c r="E159" s="74"/>
    </row>
    <row r="160" spans="1:5">
      <c r="A160" s="95" t="s">
        <v>13</v>
      </c>
      <c r="B160" s="96" t="s">
        <v>130</v>
      </c>
      <c r="C160" s="122">
        <v>8.6499999999999994E-2</v>
      </c>
      <c r="D160" s="123"/>
      <c r="E160" s="107">
        <f>(C175+D158+D159)/(1-C160)</f>
        <v>4468.8827586206899</v>
      </c>
    </row>
    <row r="161" spans="1:5">
      <c r="A161" s="95"/>
      <c r="B161" s="96" t="s">
        <v>131</v>
      </c>
      <c r="C161" s="122">
        <v>6.4999999999999997E-3</v>
      </c>
      <c r="D161" s="108">
        <f>$E$160*C161</f>
        <v>29.047737931034483</v>
      </c>
      <c r="E161" s="74"/>
    </row>
    <row r="162" spans="1:5">
      <c r="A162" s="95"/>
      <c r="B162" s="96" t="s">
        <v>132</v>
      </c>
      <c r="C162" s="122">
        <v>0.03</v>
      </c>
      <c r="D162" s="108">
        <f>$E$160*C162</f>
        <v>134.06648275862068</v>
      </c>
      <c r="E162" s="74"/>
    </row>
    <row r="163" spans="1:5">
      <c r="A163" s="95"/>
      <c r="B163" s="96" t="s">
        <v>133</v>
      </c>
      <c r="C163" s="122">
        <v>0.05</v>
      </c>
      <c r="D163" s="108">
        <f>$E$160*C163</f>
        <v>223.4441379310345</v>
      </c>
      <c r="E163" s="74"/>
    </row>
    <row r="164" spans="1:5">
      <c r="A164" s="141" t="s">
        <v>68</v>
      </c>
      <c r="B164" s="142"/>
      <c r="C164" s="106"/>
      <c r="D164" s="108">
        <f>TRUNC(SUM(D158:D163),2)</f>
        <v>934.4</v>
      </c>
      <c r="E164" s="107"/>
    </row>
    <row r="165" spans="1:5">
      <c r="A165" s="74"/>
      <c r="B165" s="74"/>
      <c r="C165" s="74"/>
      <c r="D165" s="107"/>
      <c r="E165" s="74"/>
    </row>
    <row r="166" spans="1:5">
      <c r="A166" s="74"/>
      <c r="B166" s="74"/>
      <c r="C166" s="74"/>
      <c r="D166" s="74"/>
      <c r="E166" s="74"/>
    </row>
    <row r="167" spans="1:5">
      <c r="A167" s="149" t="s">
        <v>134</v>
      </c>
      <c r="B167" s="150"/>
      <c r="C167" s="151"/>
      <c r="D167" s="74"/>
      <c r="E167" s="74"/>
    </row>
    <row r="168" spans="1:5">
      <c r="A168" s="74"/>
      <c r="B168" s="74"/>
      <c r="C168" s="74"/>
      <c r="D168" s="74"/>
      <c r="E168" s="74"/>
    </row>
    <row r="169" spans="1:5">
      <c r="A169" s="93"/>
      <c r="B169" s="94" t="s">
        <v>135</v>
      </c>
      <c r="C169" s="94" t="s">
        <v>34</v>
      </c>
      <c r="D169" s="74"/>
      <c r="E169" s="74"/>
    </row>
    <row r="170" spans="1:5">
      <c r="A170" s="95" t="s">
        <v>8</v>
      </c>
      <c r="B170" s="96" t="s">
        <v>32</v>
      </c>
      <c r="C170" s="124">
        <f>C36</f>
        <v>1647.73</v>
      </c>
      <c r="D170" s="74"/>
      <c r="E170" s="74"/>
    </row>
    <row r="171" spans="1:5">
      <c r="A171" s="95" t="s">
        <v>10</v>
      </c>
      <c r="B171" s="96" t="s">
        <v>44</v>
      </c>
      <c r="C171" s="124">
        <f>C81</f>
        <v>1584.24</v>
      </c>
      <c r="D171" s="74"/>
      <c r="E171" s="74"/>
    </row>
    <row r="172" spans="1:5">
      <c r="A172" s="95" t="s">
        <v>13</v>
      </c>
      <c r="B172" s="96" t="s">
        <v>78</v>
      </c>
      <c r="C172" s="124">
        <f>C93</f>
        <v>209.05</v>
      </c>
      <c r="D172" s="74"/>
      <c r="E172" s="74"/>
    </row>
    <row r="173" spans="1:5">
      <c r="A173" s="95" t="s">
        <v>16</v>
      </c>
      <c r="B173" s="96" t="s">
        <v>89</v>
      </c>
      <c r="C173" s="124">
        <f>C126</f>
        <v>65.319999999999993</v>
      </c>
      <c r="D173" s="74"/>
      <c r="E173" s="74"/>
    </row>
    <row r="174" spans="1:5">
      <c r="A174" s="95" t="s">
        <v>39</v>
      </c>
      <c r="B174" s="96" t="s">
        <v>105</v>
      </c>
      <c r="C174" s="124">
        <f>C146</f>
        <v>28.142500000000002</v>
      </c>
      <c r="D174" s="74"/>
      <c r="E174" s="74"/>
    </row>
    <row r="175" spans="1:5">
      <c r="A175" s="141" t="s">
        <v>136</v>
      </c>
      <c r="B175" s="142"/>
      <c r="C175" s="124">
        <f>TRUNC(SUM(C170:C174),2)</f>
        <v>3534.48</v>
      </c>
      <c r="D175" s="74"/>
      <c r="E175" s="74"/>
    </row>
    <row r="176" spans="1:5">
      <c r="A176" s="95" t="s">
        <v>41</v>
      </c>
      <c r="B176" s="96" t="s">
        <v>137</v>
      </c>
      <c r="C176" s="124">
        <f>D164</f>
        <v>934.4</v>
      </c>
      <c r="D176" s="74"/>
      <c r="E176" s="74"/>
    </row>
    <row r="177" spans="1:6">
      <c r="A177" s="141" t="s">
        <v>138</v>
      </c>
      <c r="B177" s="142"/>
      <c r="C177" s="124">
        <f>C175+C176</f>
        <v>4468.88</v>
      </c>
      <c r="D177" s="74"/>
      <c r="E177" s="74"/>
    </row>
    <row r="178" spans="1:6">
      <c r="A178" s="74"/>
      <c r="B178" s="74"/>
      <c r="C178" s="74"/>
      <c r="D178" s="74"/>
      <c r="E178" s="74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 s="73"/>
      <c r="B182" s="73"/>
      <c r="C182" s="74"/>
      <c r="E182" s="11"/>
      <c r="F182"/>
    </row>
    <row r="183" spans="1:6">
      <c r="A183" s="75"/>
      <c r="B183" s="75"/>
      <c r="C183" s="11"/>
      <c r="E183" s="11"/>
      <c r="F183"/>
    </row>
    <row r="184" spans="1:6">
      <c r="C184" s="11"/>
      <c r="E184" s="11"/>
      <c r="F184"/>
    </row>
    <row r="185" spans="1:6">
      <c r="A185" s="10"/>
      <c r="B185" s="75"/>
      <c r="C185" s="11"/>
      <c r="E185" s="11"/>
      <c r="F185"/>
    </row>
    <row r="186" spans="1:6">
      <c r="A186" s="77"/>
      <c r="B186" s="77"/>
      <c r="C186" s="77"/>
      <c r="E186" s="11"/>
      <c r="F186"/>
    </row>
    <row r="188" spans="1:6">
      <c r="B188" s="73"/>
    </row>
    <row r="189" spans="1:6">
      <c r="B189" s="75"/>
    </row>
    <row r="191" spans="1:6">
      <c r="B191" s="75"/>
    </row>
    <row r="192" spans="1:6">
      <c r="B192" s="77"/>
    </row>
  </sheetData>
  <mergeCells count="50">
    <mergeCell ref="A175:B175"/>
    <mergeCell ref="A177:B177"/>
    <mergeCell ref="A48:B50"/>
    <mergeCell ref="A95:B98"/>
    <mergeCell ref="A149:C154"/>
    <mergeCell ref="A139:B139"/>
    <mergeCell ref="A146:B146"/>
    <mergeCell ref="A155:C155"/>
    <mergeCell ref="A164:B164"/>
    <mergeCell ref="A167:C167"/>
    <mergeCell ref="A121:C121"/>
    <mergeCell ref="A126:B126"/>
    <mergeCell ref="A129:C129"/>
    <mergeCell ref="A131:E131"/>
    <mergeCell ref="A138:B138"/>
    <mergeCell ref="A99:C99"/>
    <mergeCell ref="A102:C102"/>
    <mergeCell ref="A111:B111"/>
    <mergeCell ref="A114:C114"/>
    <mergeCell ref="A118:B118"/>
    <mergeCell ref="A72:B72"/>
    <mergeCell ref="A75:C75"/>
    <mergeCell ref="A81:B81"/>
    <mergeCell ref="A84:C84"/>
    <mergeCell ref="A93:B93"/>
    <mergeCell ref="A41:C41"/>
    <mergeCell ref="A46:B46"/>
    <mergeCell ref="A51:D51"/>
    <mergeCell ref="A62:B62"/>
    <mergeCell ref="A65:C65"/>
    <mergeCell ref="C22:E22"/>
    <mergeCell ref="C23:E23"/>
    <mergeCell ref="A27:C27"/>
    <mergeCell ref="A36:B36"/>
    <mergeCell ref="A39:C39"/>
    <mergeCell ref="C16:D16"/>
    <mergeCell ref="A18:E18"/>
    <mergeCell ref="A19:E19"/>
    <mergeCell ref="C20:E20"/>
    <mergeCell ref="C21:E21"/>
    <mergeCell ref="C10:E10"/>
    <mergeCell ref="C11:E11"/>
    <mergeCell ref="C12:E12"/>
    <mergeCell ref="A14:C14"/>
    <mergeCell ref="C15:E15"/>
    <mergeCell ref="A1:D1"/>
    <mergeCell ref="A2:D2"/>
    <mergeCell ref="A3:D3"/>
    <mergeCell ref="A8:E8"/>
    <mergeCell ref="C9:E9"/>
  </mergeCells>
  <pageMargins left="0.511811024" right="0.511811024" top="0.78740157499999996" bottom="0.78740157499999996" header="0.31496062000000002" footer="0.31496062000000002"/>
  <pageSetup paperSize="9" scale="71" orientation="portrait"/>
  <rowBreaks count="2" manualBreakCount="2">
    <brk id="63" max="5" man="1"/>
    <brk id="127" max="5" man="1"/>
  </rowBreaks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5"/>
  <sheetViews>
    <sheetView zoomScale="85" zoomScaleNormal="85" workbookViewId="0">
      <selection activeCell="F8" sqref="F8"/>
    </sheetView>
  </sheetViews>
  <sheetFormatPr defaultColWidth="9" defaultRowHeight="15"/>
  <cols>
    <col min="2" max="2" width="20.28515625" customWidth="1"/>
    <col min="3" max="3" width="9.28515625" customWidth="1"/>
    <col min="4" max="4" width="15.140625" customWidth="1"/>
    <col min="5" max="5" width="15.85546875" customWidth="1"/>
    <col min="6" max="6" width="20.140625" customWidth="1"/>
    <col min="7" max="7" width="26.140625" customWidth="1"/>
    <col min="8" max="8" width="10.140625" customWidth="1"/>
    <col min="10" max="10" width="14.28515625" customWidth="1"/>
  </cols>
  <sheetData>
    <row r="1" spans="1:12">
      <c r="A1" s="193" t="s">
        <v>238</v>
      </c>
      <c r="B1" s="194"/>
      <c r="C1" s="194"/>
      <c r="D1" s="194"/>
      <c r="E1" s="194"/>
      <c r="F1" s="194"/>
      <c r="G1" s="195"/>
    </row>
    <row r="2" spans="1:12">
      <c r="A2" s="196"/>
      <c r="B2" s="197"/>
      <c r="C2" s="197"/>
      <c r="D2" s="197"/>
      <c r="E2" s="197"/>
      <c r="F2" s="197"/>
      <c r="G2" s="198"/>
    </row>
    <row r="3" spans="1:12">
      <c r="A3" s="187"/>
      <c r="B3" s="188"/>
      <c r="C3" s="188"/>
      <c r="D3" s="188"/>
      <c r="E3" s="188"/>
      <c r="F3" s="188"/>
      <c r="G3" s="189"/>
    </row>
    <row r="4" spans="1:12" ht="15" customHeight="1">
      <c r="A4" s="190" t="s">
        <v>108</v>
      </c>
      <c r="B4" s="190" t="s">
        <v>239</v>
      </c>
      <c r="C4" s="190" t="s">
        <v>240</v>
      </c>
      <c r="D4" s="190" t="s">
        <v>241</v>
      </c>
      <c r="E4" s="190" t="s">
        <v>242</v>
      </c>
      <c r="F4" s="191" t="s">
        <v>243</v>
      </c>
      <c r="G4" s="190" t="s">
        <v>244</v>
      </c>
    </row>
    <row r="5" spans="1:12" ht="45" customHeight="1">
      <c r="A5" s="190"/>
      <c r="B5" s="190"/>
      <c r="C5" s="190"/>
      <c r="D5" s="190"/>
      <c r="E5" s="190"/>
      <c r="F5" s="192"/>
      <c r="G5" s="190"/>
    </row>
    <row r="6" spans="1:12">
      <c r="A6" s="1">
        <v>1</v>
      </c>
      <c r="B6" s="2" t="s">
        <v>182</v>
      </c>
      <c r="C6" s="3">
        <v>3</v>
      </c>
      <c r="D6" s="4">
        <f>'Almoxarife 44h'!C177</f>
        <v>4468.88</v>
      </c>
      <c r="E6" s="4">
        <f>C6*D6</f>
        <v>13406.64</v>
      </c>
      <c r="F6" s="4">
        <f t="shared" ref="F6:G9" si="0">D6*12</f>
        <v>53626.559999999998</v>
      </c>
      <c r="G6" s="4">
        <f t="shared" si="0"/>
        <v>160879.67999999999</v>
      </c>
    </row>
    <row r="7" spans="1:12">
      <c r="A7" s="1">
        <v>2</v>
      </c>
      <c r="B7" s="2" t="s">
        <v>183</v>
      </c>
      <c r="C7" s="3">
        <v>1</v>
      </c>
      <c r="D7" s="4">
        <f>'Copeiro 44h'!C178</f>
        <v>4061.93</v>
      </c>
      <c r="E7" s="4">
        <f>C7*D7</f>
        <v>4061.93</v>
      </c>
      <c r="F7" s="4">
        <f t="shared" si="0"/>
        <v>48743.159999999996</v>
      </c>
      <c r="G7" s="4">
        <f t="shared" si="0"/>
        <v>48743.159999999996</v>
      </c>
      <c r="H7" s="5"/>
    </row>
    <row r="8" spans="1:12">
      <c r="A8" s="1">
        <v>3</v>
      </c>
      <c r="B8" s="2" t="s">
        <v>185</v>
      </c>
      <c r="C8" s="3">
        <v>3</v>
      </c>
      <c r="D8" s="4">
        <f>'Carregador 44h'!C181</f>
        <v>4449.01</v>
      </c>
      <c r="E8" s="4">
        <f>C8*D8</f>
        <v>13347.03</v>
      </c>
      <c r="F8" s="4">
        <f t="shared" si="0"/>
        <v>53388.12</v>
      </c>
      <c r="G8" s="4">
        <f t="shared" si="0"/>
        <v>160164.36000000002</v>
      </c>
      <c r="H8" s="5"/>
    </row>
    <row r="9" spans="1:12" ht="15" customHeight="1">
      <c r="A9" s="1">
        <v>4</v>
      </c>
      <c r="B9" s="2" t="s">
        <v>245</v>
      </c>
      <c r="C9" s="3">
        <v>2</v>
      </c>
      <c r="D9" s="4">
        <f>'Operador de Som 44h'!C177</f>
        <v>4319.4000000000005</v>
      </c>
      <c r="E9" s="4">
        <f>C9*D9</f>
        <v>8638.8000000000011</v>
      </c>
      <c r="F9" s="4">
        <f t="shared" si="0"/>
        <v>51832.800000000003</v>
      </c>
      <c r="G9" s="4">
        <f t="shared" si="0"/>
        <v>103665.60000000001</v>
      </c>
      <c r="J9" s="5"/>
      <c r="L9" s="5"/>
    </row>
    <row r="10" spans="1:12" ht="29.45" customHeight="1">
      <c r="A10" s="6" t="s">
        <v>43</v>
      </c>
      <c r="B10" s="6"/>
      <c r="C10" s="1"/>
      <c r="D10" s="7"/>
      <c r="E10" s="7">
        <f>SUM(E6:E9)</f>
        <v>39454.400000000001</v>
      </c>
      <c r="F10" s="7"/>
      <c r="G10" s="7">
        <f>SUM(G6:G9)</f>
        <v>473452.80000000005</v>
      </c>
      <c r="J10" s="5"/>
      <c r="L10" s="5"/>
    </row>
    <row r="11" spans="1:12">
      <c r="A11" s="8"/>
      <c r="B11" s="8"/>
      <c r="C11" s="8"/>
      <c r="D11" s="8"/>
      <c r="E11" s="8"/>
      <c r="F11" s="8"/>
      <c r="G11" s="8"/>
    </row>
    <row r="12" spans="1:12">
      <c r="A12" s="9"/>
      <c r="B12" s="9"/>
      <c r="C12" s="9"/>
      <c r="D12" s="9"/>
      <c r="E12" s="9"/>
      <c r="F12" s="9"/>
      <c r="G12" s="9"/>
    </row>
    <row r="13" spans="1:12">
      <c r="A13" s="9"/>
      <c r="B13" s="9"/>
      <c r="C13" s="9"/>
      <c r="D13" s="9"/>
      <c r="E13" s="9"/>
      <c r="F13" s="9"/>
      <c r="G13" s="9"/>
    </row>
    <row r="14" spans="1:12">
      <c r="A14" s="9"/>
      <c r="B14" s="9"/>
      <c r="C14" s="9"/>
      <c r="D14" s="9"/>
      <c r="E14" s="9"/>
      <c r="F14" s="9"/>
      <c r="G14" s="9"/>
    </row>
    <row r="15" spans="1:12" ht="15.75" customHeight="1">
      <c r="A15" s="9"/>
      <c r="B15" s="9"/>
      <c r="C15" s="9"/>
      <c r="D15" s="9"/>
      <c r="E15" s="9"/>
      <c r="F15" s="9"/>
      <c r="G15" s="9"/>
    </row>
    <row r="16" spans="1:12" ht="15.75" customHeight="1">
      <c r="A16" s="199" t="s">
        <v>246</v>
      </c>
      <c r="B16" s="200"/>
      <c r="C16" s="200"/>
      <c r="D16" s="200"/>
      <c r="E16" s="200"/>
      <c r="F16" s="200"/>
      <c r="G16" s="200"/>
    </row>
    <row r="17" spans="1:7" ht="96.95" customHeight="1">
      <c r="A17" s="200"/>
      <c r="B17" s="200"/>
      <c r="C17" s="200"/>
      <c r="D17" s="200"/>
      <c r="E17" s="200"/>
      <c r="F17" s="200"/>
      <c r="G17" s="200"/>
    </row>
    <row r="18" spans="1:7" ht="15.75">
      <c r="A18" s="10"/>
      <c r="B18" s="11"/>
      <c r="C18" s="11"/>
    </row>
    <row r="19" spans="1:7">
      <c r="A19" s="199" t="s">
        <v>247</v>
      </c>
      <c r="B19" s="200"/>
      <c r="C19" s="200"/>
      <c r="D19" s="200"/>
      <c r="E19" s="200"/>
      <c r="F19" s="200"/>
      <c r="G19" s="200"/>
    </row>
    <row r="20" spans="1:7" ht="51" customHeight="1">
      <c r="A20" s="200"/>
      <c r="B20" s="200"/>
      <c r="C20" s="200"/>
      <c r="D20" s="200"/>
      <c r="E20" s="200"/>
      <c r="F20" s="200"/>
      <c r="G20" s="200"/>
    </row>
    <row r="21" spans="1:7">
      <c r="A21" s="199"/>
      <c r="B21" s="200"/>
      <c r="C21" s="200"/>
      <c r="D21" s="200"/>
      <c r="E21" s="200"/>
      <c r="F21" s="200"/>
      <c r="G21" s="200"/>
    </row>
    <row r="22" spans="1:7">
      <c r="A22" s="200"/>
      <c r="B22" s="200"/>
      <c r="C22" s="200"/>
      <c r="D22" s="200"/>
      <c r="E22" s="200"/>
      <c r="F22" s="200"/>
      <c r="G22" s="200"/>
    </row>
    <row r="24" spans="1:7">
      <c r="A24" s="201" t="s">
        <v>248</v>
      </c>
      <c r="B24" s="201"/>
      <c r="C24" s="201"/>
      <c r="D24" s="201"/>
      <c r="E24" s="201"/>
      <c r="F24" s="201"/>
      <c r="G24" s="201"/>
    </row>
    <row r="25" spans="1:7">
      <c r="A25" s="201"/>
      <c r="B25" s="201"/>
      <c r="C25" s="201"/>
      <c r="D25" s="201"/>
      <c r="E25" s="201"/>
      <c r="F25" s="201"/>
      <c r="G25" s="201"/>
    </row>
  </sheetData>
  <mergeCells count="13">
    <mergeCell ref="A1:G2"/>
    <mergeCell ref="A19:G20"/>
    <mergeCell ref="A16:G17"/>
    <mergeCell ref="A21:G22"/>
    <mergeCell ref="A24:G25"/>
    <mergeCell ref="A3:G3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3"/>
  <sheetViews>
    <sheetView showGridLines="0" zoomScale="90" zoomScaleNormal="90" workbookViewId="0">
      <selection sqref="A1:F182"/>
    </sheetView>
  </sheetViews>
  <sheetFormatPr defaultColWidth="9.140625" defaultRowHeight="15.75"/>
  <cols>
    <col min="1" max="1" width="14.140625" style="76" customWidth="1"/>
    <col min="2" max="2" width="72.140625" style="76" customWidth="1"/>
    <col min="3" max="3" width="11.5703125" style="76" customWidth="1"/>
    <col min="4" max="4" width="9.85546875" style="76" customWidth="1"/>
    <col min="5" max="5" width="12.7109375" style="76" customWidth="1"/>
    <col min="6" max="6" width="12" style="76" customWidth="1"/>
    <col min="7" max="7" width="15.140625" style="76" customWidth="1"/>
    <col min="8" max="16384" width="9.140625" style="76"/>
  </cols>
  <sheetData>
    <row r="1" spans="1:5">
      <c r="A1" s="129" t="s">
        <v>0</v>
      </c>
      <c r="B1" s="129"/>
      <c r="C1" s="129"/>
      <c r="D1" s="129"/>
      <c r="E1" s="74"/>
    </row>
    <row r="2" spans="1:5">
      <c r="A2" s="129" t="s">
        <v>1</v>
      </c>
      <c r="B2" s="129"/>
      <c r="C2" s="129"/>
      <c r="D2" s="129"/>
      <c r="E2" s="74"/>
    </row>
    <row r="3" spans="1:5">
      <c r="A3" s="130" t="s">
        <v>2</v>
      </c>
      <c r="B3" s="130"/>
      <c r="C3" s="130"/>
      <c r="D3" s="130"/>
      <c r="E3" s="74"/>
    </row>
    <row r="4" spans="1:5">
      <c r="A4" s="80" t="s">
        <v>3</v>
      </c>
      <c r="B4" s="81" t="s">
        <v>4</v>
      </c>
      <c r="C4" s="79"/>
      <c r="D4" s="79"/>
      <c r="E4" s="74"/>
    </row>
    <row r="5" spans="1:5">
      <c r="A5" s="80" t="s">
        <v>5</v>
      </c>
      <c r="B5" s="82"/>
      <c r="C5" s="79"/>
      <c r="D5" s="79"/>
      <c r="E5" s="74"/>
    </row>
    <row r="6" spans="1:5">
      <c r="A6" s="83" t="s">
        <v>6</v>
      </c>
      <c r="B6" s="83"/>
      <c r="C6" s="79"/>
      <c r="D6" s="79"/>
      <c r="E6" s="74"/>
    </row>
    <row r="7" spans="1:5">
      <c r="A7" s="84"/>
      <c r="B7" s="84"/>
      <c r="C7" s="79"/>
      <c r="D7" s="79"/>
      <c r="E7" s="74"/>
    </row>
    <row r="8" spans="1:5">
      <c r="A8" s="131" t="s">
        <v>7</v>
      </c>
      <c r="B8" s="131"/>
      <c r="C8" s="131"/>
      <c r="D8" s="131"/>
      <c r="E8" s="131"/>
    </row>
    <row r="9" spans="1:5">
      <c r="A9" s="85" t="s">
        <v>8</v>
      </c>
      <c r="B9" s="86" t="s">
        <v>9</v>
      </c>
      <c r="C9" s="132"/>
      <c r="D9" s="132"/>
      <c r="E9" s="132"/>
    </row>
    <row r="10" spans="1:5">
      <c r="A10" s="85" t="s">
        <v>10</v>
      </c>
      <c r="B10" s="86" t="s">
        <v>11</v>
      </c>
      <c r="C10" s="133" t="s">
        <v>12</v>
      </c>
      <c r="D10" s="133"/>
      <c r="E10" s="133"/>
    </row>
    <row r="11" spans="1:5">
      <c r="A11" s="85" t="s">
        <v>13</v>
      </c>
      <c r="B11" s="86" t="s">
        <v>14</v>
      </c>
      <c r="C11" s="133" t="s">
        <v>15</v>
      </c>
      <c r="D11" s="133"/>
      <c r="E11" s="133"/>
    </row>
    <row r="12" spans="1:5">
      <c r="A12" s="85" t="s">
        <v>16</v>
      </c>
      <c r="B12" s="86" t="s">
        <v>17</v>
      </c>
      <c r="C12" s="133">
        <v>12</v>
      </c>
      <c r="D12" s="133"/>
      <c r="E12" s="133"/>
    </row>
    <row r="13" spans="1:5">
      <c r="A13" s="87"/>
      <c r="B13" s="87"/>
      <c r="C13" s="87"/>
      <c r="D13" s="87"/>
      <c r="E13" s="87"/>
    </row>
    <row r="14" spans="1:5">
      <c r="A14" s="134" t="s">
        <v>18</v>
      </c>
      <c r="B14" s="134"/>
      <c r="C14" s="134"/>
      <c r="D14" s="88"/>
      <c r="E14" s="87"/>
    </row>
    <row r="15" spans="1:5" ht="28.15" customHeight="1">
      <c r="A15" s="85" t="s">
        <v>19</v>
      </c>
      <c r="B15" s="85" t="s">
        <v>20</v>
      </c>
      <c r="C15" s="135" t="s">
        <v>21</v>
      </c>
      <c r="D15" s="135"/>
      <c r="E15" s="135"/>
    </row>
    <row r="16" spans="1:5">
      <c r="A16" s="89" t="s">
        <v>139</v>
      </c>
      <c r="B16" s="85" t="s">
        <v>23</v>
      </c>
      <c r="C16" s="136" t="s">
        <v>140</v>
      </c>
      <c r="D16" s="136"/>
      <c r="E16" s="125">
        <v>1</v>
      </c>
    </row>
    <row r="17" spans="1:5">
      <c r="A17" s="87"/>
      <c r="B17" s="87"/>
      <c r="C17" s="87"/>
      <c r="D17" s="87"/>
      <c r="E17" s="87"/>
    </row>
    <row r="18" spans="1:5">
      <c r="A18" s="134" t="s">
        <v>25</v>
      </c>
      <c r="B18" s="134"/>
      <c r="C18" s="134"/>
      <c r="D18" s="134"/>
      <c r="E18" s="134"/>
    </row>
    <row r="19" spans="1:5">
      <c r="A19" s="137" t="s">
        <v>26</v>
      </c>
      <c r="B19" s="137"/>
      <c r="C19" s="137"/>
      <c r="D19" s="137"/>
      <c r="E19" s="137"/>
    </row>
    <row r="20" spans="1:5">
      <c r="A20" s="85">
        <v>1</v>
      </c>
      <c r="B20" s="91" t="s">
        <v>27</v>
      </c>
      <c r="C20" s="135" t="s">
        <v>140</v>
      </c>
      <c r="D20" s="135"/>
      <c r="E20" s="135"/>
    </row>
    <row r="21" spans="1:5">
      <c r="A21" s="85">
        <v>2</v>
      </c>
      <c r="B21" s="92" t="s">
        <v>28</v>
      </c>
      <c r="C21" s="138">
        <v>1450</v>
      </c>
      <c r="D21" s="138"/>
      <c r="E21" s="138"/>
    </row>
    <row r="22" spans="1:5" ht="15.6" customHeight="1">
      <c r="A22" s="85">
        <v>3</v>
      </c>
      <c r="B22" s="92" t="s">
        <v>29</v>
      </c>
      <c r="C22" s="139" t="s">
        <v>141</v>
      </c>
      <c r="D22" s="139"/>
      <c r="E22" s="139"/>
    </row>
    <row r="23" spans="1:5">
      <c r="A23" s="85">
        <v>4</v>
      </c>
      <c r="B23" s="92" t="s">
        <v>31</v>
      </c>
      <c r="C23" s="132">
        <v>45292</v>
      </c>
      <c r="D23" s="132"/>
      <c r="E23" s="132"/>
    </row>
    <row r="24" spans="1:5">
      <c r="A24" s="79"/>
      <c r="B24" s="79"/>
      <c r="C24" s="79"/>
      <c r="D24" s="79"/>
      <c r="E24" s="74"/>
    </row>
    <row r="25" spans="1:5">
      <c r="A25" s="74"/>
      <c r="B25" s="74"/>
      <c r="C25" s="74"/>
      <c r="D25" s="74"/>
      <c r="E25" s="74"/>
    </row>
    <row r="26" spans="1:5">
      <c r="A26" s="74"/>
      <c r="B26" s="74"/>
      <c r="C26" s="74"/>
      <c r="D26" s="74"/>
      <c r="E26" s="74"/>
    </row>
    <row r="27" spans="1:5">
      <c r="A27" s="140" t="s">
        <v>32</v>
      </c>
      <c r="B27" s="140"/>
      <c r="C27" s="140"/>
      <c r="D27" s="74"/>
      <c r="E27" s="74"/>
    </row>
    <row r="28" spans="1:5">
      <c r="A28" s="74"/>
      <c r="B28" s="74"/>
      <c r="C28" s="74"/>
      <c r="D28" s="74"/>
      <c r="E28" s="74"/>
    </row>
    <row r="29" spans="1:5">
      <c r="A29" s="93">
        <v>1</v>
      </c>
      <c r="B29" s="94" t="s">
        <v>33</v>
      </c>
      <c r="C29" s="94" t="s">
        <v>34</v>
      </c>
      <c r="D29" s="74"/>
      <c r="E29" s="74"/>
    </row>
    <row r="30" spans="1:5">
      <c r="A30" s="95" t="s">
        <v>8</v>
      </c>
      <c r="B30" s="96" t="s">
        <v>35</v>
      </c>
      <c r="C30" s="97">
        <v>1450</v>
      </c>
      <c r="D30" s="74"/>
      <c r="E30" s="74"/>
    </row>
    <row r="31" spans="1:5">
      <c r="A31" s="95" t="s">
        <v>10</v>
      </c>
      <c r="B31" s="96" t="s">
        <v>36</v>
      </c>
      <c r="C31" s="98"/>
      <c r="D31" s="74"/>
      <c r="E31" s="74"/>
    </row>
    <row r="32" spans="1:5">
      <c r="A32" s="95" t="s">
        <v>13</v>
      </c>
      <c r="B32" s="96" t="s">
        <v>37</v>
      </c>
      <c r="C32" s="98"/>
      <c r="D32" s="74"/>
      <c r="E32" s="74"/>
    </row>
    <row r="33" spans="1:5">
      <c r="A33" s="95" t="s">
        <v>16</v>
      </c>
      <c r="B33" s="96" t="s">
        <v>38</v>
      </c>
      <c r="C33" s="98"/>
      <c r="D33" s="74"/>
      <c r="E33" s="74"/>
    </row>
    <row r="34" spans="1:5">
      <c r="A34" s="95" t="s">
        <v>39</v>
      </c>
      <c r="B34" s="96" t="s">
        <v>40</v>
      </c>
      <c r="C34" s="98"/>
      <c r="D34" s="74"/>
      <c r="E34" s="74"/>
    </row>
    <row r="35" spans="1:5">
      <c r="A35" s="95" t="s">
        <v>41</v>
      </c>
      <c r="B35" s="96" t="s">
        <v>42</v>
      </c>
      <c r="C35" s="98"/>
      <c r="D35" s="74"/>
      <c r="E35" s="74"/>
    </row>
    <row r="36" spans="1:5">
      <c r="A36" s="141" t="s">
        <v>43</v>
      </c>
      <c r="B36" s="142"/>
      <c r="C36" s="98">
        <f>SUM(C30:C35)</f>
        <v>1450</v>
      </c>
      <c r="D36" s="74"/>
      <c r="E36" s="74"/>
    </row>
    <row r="37" spans="1:5">
      <c r="A37" s="74"/>
      <c r="B37" s="74"/>
      <c r="C37" s="74"/>
      <c r="D37" s="74"/>
      <c r="E37" s="74"/>
    </row>
    <row r="38" spans="1:5">
      <c r="A38" s="74"/>
      <c r="B38" s="74"/>
      <c r="C38" s="74"/>
      <c r="D38" s="74"/>
      <c r="E38" s="74"/>
    </row>
    <row r="39" spans="1:5">
      <c r="A39" s="140" t="s">
        <v>44</v>
      </c>
      <c r="B39" s="140"/>
      <c r="C39" s="140"/>
      <c r="D39" s="74"/>
      <c r="E39" s="74"/>
    </row>
    <row r="40" spans="1:5">
      <c r="A40" s="84"/>
      <c r="B40" s="74"/>
      <c r="C40" s="74"/>
      <c r="D40" s="74"/>
      <c r="E40" s="74"/>
    </row>
    <row r="41" spans="1:5">
      <c r="A41" s="143" t="s">
        <v>45</v>
      </c>
      <c r="B41" s="144"/>
      <c r="C41" s="145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93" t="s">
        <v>46</v>
      </c>
      <c r="B43" s="94" t="s">
        <v>47</v>
      </c>
      <c r="C43" s="94" t="s">
        <v>34</v>
      </c>
      <c r="D43" s="74"/>
      <c r="E43" s="74"/>
    </row>
    <row r="44" spans="1:5">
      <c r="A44" s="95" t="s">
        <v>8</v>
      </c>
      <c r="B44" s="96" t="s">
        <v>48</v>
      </c>
      <c r="C44" s="98">
        <f>TRUNC(C36*8.33%,2)</f>
        <v>120.78</v>
      </c>
      <c r="D44" s="74"/>
      <c r="E44" s="74"/>
    </row>
    <row r="45" spans="1:5">
      <c r="A45" s="95" t="s">
        <v>10</v>
      </c>
      <c r="B45" s="96" t="s">
        <v>49</v>
      </c>
      <c r="C45" s="98">
        <f>TRUNC(C36*12.1%,2)</f>
        <v>175.45</v>
      </c>
      <c r="D45" s="74"/>
      <c r="E45" s="74"/>
    </row>
    <row r="46" spans="1:5">
      <c r="A46" s="141" t="s">
        <v>43</v>
      </c>
      <c r="B46" s="142"/>
      <c r="C46" s="98">
        <f>SUM(C44:C45)</f>
        <v>296.23</v>
      </c>
      <c r="D46" s="74"/>
      <c r="E46" s="74"/>
    </row>
    <row r="47" spans="1:5">
      <c r="A47" s="74"/>
      <c r="B47" s="74"/>
      <c r="C47" s="74"/>
      <c r="D47" s="74"/>
      <c r="E47" s="74"/>
    </row>
    <row r="48" spans="1:5">
      <c r="A48" s="156" t="s">
        <v>50</v>
      </c>
      <c r="B48" s="156"/>
      <c r="C48" s="99" t="s">
        <v>51</v>
      </c>
      <c r="D48" s="100">
        <f>C36</f>
        <v>1450</v>
      </c>
      <c r="E48" s="74"/>
    </row>
    <row r="49" spans="1:7" ht="32.25" customHeight="1">
      <c r="A49" s="156"/>
      <c r="B49" s="156"/>
      <c r="C49" s="101" t="s">
        <v>52</v>
      </c>
      <c r="D49" s="102">
        <f>C46</f>
        <v>296.23</v>
      </c>
      <c r="E49" s="74"/>
    </row>
    <row r="50" spans="1:7" ht="32.25" customHeight="1">
      <c r="A50" s="157"/>
      <c r="B50" s="157"/>
      <c r="C50" s="103" t="s">
        <v>53</v>
      </c>
      <c r="D50" s="104">
        <f>SUM(D48:D49)</f>
        <v>1746.23</v>
      </c>
      <c r="E50" s="74"/>
      <c r="G50" s="105"/>
    </row>
    <row r="51" spans="1:7" ht="32.25" customHeight="1">
      <c r="A51" s="146" t="s">
        <v>54</v>
      </c>
      <c r="B51" s="147"/>
      <c r="C51" s="147"/>
      <c r="D51" s="148"/>
      <c r="E51" s="74"/>
    </row>
    <row r="52" spans="1:7">
      <c r="A52" s="74"/>
      <c r="B52" s="74"/>
      <c r="C52" s="74"/>
      <c r="D52" s="74"/>
      <c r="E52" s="74"/>
    </row>
    <row r="53" spans="1:7" ht="25.5">
      <c r="A53" s="93" t="s">
        <v>55</v>
      </c>
      <c r="B53" s="94" t="s">
        <v>56</v>
      </c>
      <c r="C53" s="94" t="s">
        <v>57</v>
      </c>
      <c r="D53" s="94" t="s">
        <v>34</v>
      </c>
      <c r="E53" s="74"/>
    </row>
    <row r="54" spans="1:7">
      <c r="A54" s="95" t="s">
        <v>8</v>
      </c>
      <c r="B54" s="96" t="s">
        <v>58</v>
      </c>
      <c r="C54" s="106">
        <v>0.2</v>
      </c>
      <c r="D54" s="98">
        <f t="shared" ref="D54:D62" si="0">TRUNC(($C$36+$C$46)*C54,2)</f>
        <v>349.24</v>
      </c>
      <c r="E54" s="74"/>
    </row>
    <row r="55" spans="1:7">
      <c r="A55" s="95" t="s">
        <v>10</v>
      </c>
      <c r="B55" s="96" t="s">
        <v>59</v>
      </c>
      <c r="C55" s="106">
        <v>2.5000000000000001E-2</v>
      </c>
      <c r="D55" s="98">
        <f t="shared" si="0"/>
        <v>43.65</v>
      </c>
      <c r="E55" s="74"/>
    </row>
    <row r="56" spans="1:7">
      <c r="A56" s="95" t="s">
        <v>13</v>
      </c>
      <c r="B56" s="96" t="s">
        <v>60</v>
      </c>
      <c r="C56" s="106">
        <v>0.03</v>
      </c>
      <c r="D56" s="98">
        <f t="shared" si="0"/>
        <v>52.38</v>
      </c>
      <c r="E56" s="74"/>
    </row>
    <row r="57" spans="1:7">
      <c r="A57" s="95" t="s">
        <v>16</v>
      </c>
      <c r="B57" s="96" t="s">
        <v>61</v>
      </c>
      <c r="C57" s="106">
        <v>1.4999999999999999E-2</v>
      </c>
      <c r="D57" s="98">
        <f t="shared" si="0"/>
        <v>26.19</v>
      </c>
      <c r="E57" s="74"/>
    </row>
    <row r="58" spans="1:7">
      <c r="A58" s="95" t="s">
        <v>39</v>
      </c>
      <c r="B58" s="96" t="s">
        <v>62</v>
      </c>
      <c r="C58" s="106">
        <v>0.01</v>
      </c>
      <c r="D58" s="98">
        <f t="shared" si="0"/>
        <v>17.46</v>
      </c>
      <c r="E58" s="74"/>
    </row>
    <row r="59" spans="1:7">
      <c r="A59" s="95" t="s">
        <v>41</v>
      </c>
      <c r="B59" s="96" t="s">
        <v>63</v>
      </c>
      <c r="C59" s="106">
        <v>6.0000000000000001E-3</v>
      </c>
      <c r="D59" s="98">
        <f t="shared" si="0"/>
        <v>10.47</v>
      </c>
      <c r="E59" s="74"/>
    </row>
    <row r="60" spans="1:7">
      <c r="A60" s="95" t="s">
        <v>64</v>
      </c>
      <c r="B60" s="96" t="s">
        <v>65</v>
      </c>
      <c r="C60" s="106">
        <v>2E-3</v>
      </c>
      <c r="D60" s="98">
        <f t="shared" si="0"/>
        <v>3.49</v>
      </c>
      <c r="E60" s="74"/>
    </row>
    <row r="61" spans="1:7">
      <c r="A61" s="95" t="s">
        <v>66</v>
      </c>
      <c r="B61" s="96" t="s">
        <v>67</v>
      </c>
      <c r="C61" s="106">
        <v>0.08</v>
      </c>
      <c r="D61" s="98">
        <f t="shared" si="0"/>
        <v>139.69</v>
      </c>
      <c r="E61" s="74"/>
    </row>
    <row r="62" spans="1:7">
      <c r="A62" s="141" t="s">
        <v>68</v>
      </c>
      <c r="B62" s="142"/>
      <c r="C62" s="106">
        <f>SUM(C54:C61)</f>
        <v>0.36799999999999999</v>
      </c>
      <c r="D62" s="98">
        <f t="shared" si="0"/>
        <v>642.61</v>
      </c>
      <c r="E62" s="74"/>
    </row>
    <row r="63" spans="1:7">
      <c r="A63" s="74"/>
      <c r="B63" s="74"/>
      <c r="C63" s="74"/>
      <c r="D63" s="107"/>
      <c r="E63" s="74"/>
    </row>
    <row r="64" spans="1:7">
      <c r="A64" s="74"/>
      <c r="B64" s="74"/>
      <c r="C64" s="74"/>
      <c r="D64" s="74"/>
      <c r="E64" s="74"/>
    </row>
    <row r="65" spans="1:5">
      <c r="A65" s="143" t="s">
        <v>69</v>
      </c>
      <c r="B65" s="144"/>
      <c r="C65" s="145"/>
      <c r="D65" s="74"/>
      <c r="E65" s="74"/>
    </row>
    <row r="66" spans="1:5">
      <c r="A66" s="74"/>
      <c r="B66" s="74"/>
      <c r="C66" s="74"/>
      <c r="D66" s="74"/>
      <c r="E66" s="74"/>
    </row>
    <row r="67" spans="1:5">
      <c r="A67" s="93" t="s">
        <v>70</v>
      </c>
      <c r="B67" s="94" t="s">
        <v>71</v>
      </c>
      <c r="C67" s="94" t="s">
        <v>34</v>
      </c>
      <c r="D67" s="74"/>
      <c r="E67" s="74"/>
    </row>
    <row r="68" spans="1:5">
      <c r="A68" s="95" t="s">
        <v>8</v>
      </c>
      <c r="B68" s="96" t="s">
        <v>72</v>
      </c>
      <c r="C68" s="98">
        <f>TRUNC(((4.5*2*250)-((C36*6%)*12))/12,2)</f>
        <v>100.5</v>
      </c>
      <c r="D68" s="74"/>
      <c r="E68" s="74"/>
    </row>
    <row r="69" spans="1:5">
      <c r="A69" s="95" t="s">
        <v>10</v>
      </c>
      <c r="B69" s="96" t="s">
        <v>73</v>
      </c>
      <c r="C69" s="98">
        <f>((17*250)-(17*250*10%))/12</f>
        <v>318.75</v>
      </c>
      <c r="D69" s="74"/>
      <c r="E69" s="74"/>
    </row>
    <row r="70" spans="1:5">
      <c r="A70" s="95" t="s">
        <v>13</v>
      </c>
      <c r="B70" s="96" t="s">
        <v>74</v>
      </c>
      <c r="C70" s="108">
        <v>110</v>
      </c>
      <c r="D70" s="74"/>
      <c r="E70" s="74"/>
    </row>
    <row r="71" spans="1:5">
      <c r="A71" s="95" t="s">
        <v>16</v>
      </c>
      <c r="B71" s="96" t="s">
        <v>75</v>
      </c>
      <c r="C71" s="108"/>
      <c r="D71" s="74"/>
      <c r="E71" s="74"/>
    </row>
    <row r="72" spans="1:5">
      <c r="A72" s="141" t="s">
        <v>43</v>
      </c>
      <c r="B72" s="142"/>
      <c r="C72" s="98">
        <f>SUM(C68:C71)</f>
        <v>529.25</v>
      </c>
      <c r="D72" s="74"/>
      <c r="E72" s="74"/>
    </row>
    <row r="73" spans="1:5">
      <c r="A73" s="74"/>
      <c r="B73" s="74"/>
      <c r="C73" s="74"/>
      <c r="D73" s="74"/>
      <c r="E73" s="74"/>
    </row>
    <row r="74" spans="1:5">
      <c r="A74" s="74"/>
      <c r="B74" s="74"/>
      <c r="C74" s="74"/>
      <c r="D74" s="74"/>
      <c r="E74" s="74"/>
    </row>
    <row r="75" spans="1:5">
      <c r="A75" s="149" t="s">
        <v>76</v>
      </c>
      <c r="B75" s="150"/>
      <c r="C75" s="151"/>
      <c r="D75" s="74"/>
      <c r="E75" s="74"/>
    </row>
    <row r="76" spans="1:5">
      <c r="A76" s="74"/>
      <c r="B76" s="74"/>
      <c r="C76" s="74"/>
      <c r="D76" s="74"/>
      <c r="E76" s="74"/>
    </row>
    <row r="77" spans="1:5">
      <c r="A77" s="93">
        <v>2</v>
      </c>
      <c r="B77" s="94" t="s">
        <v>77</v>
      </c>
      <c r="C77" s="94" t="s">
        <v>34</v>
      </c>
      <c r="D77" s="74"/>
      <c r="E77" s="74"/>
    </row>
    <row r="78" spans="1:5">
      <c r="A78" s="95" t="s">
        <v>46</v>
      </c>
      <c r="B78" s="96" t="s">
        <v>47</v>
      </c>
      <c r="C78" s="98">
        <f>C46</f>
        <v>296.23</v>
      </c>
      <c r="D78" s="74"/>
      <c r="E78" s="74"/>
    </row>
    <row r="79" spans="1:5">
      <c r="A79" s="95" t="s">
        <v>55</v>
      </c>
      <c r="B79" s="96" t="s">
        <v>56</v>
      </c>
      <c r="C79" s="98">
        <f>D62</f>
        <v>642.61</v>
      </c>
      <c r="D79" s="74"/>
      <c r="E79" s="74"/>
    </row>
    <row r="80" spans="1:5">
      <c r="A80" s="95" t="s">
        <v>70</v>
      </c>
      <c r="B80" s="96" t="s">
        <v>71</v>
      </c>
      <c r="C80" s="98">
        <f>C72</f>
        <v>529.25</v>
      </c>
      <c r="D80" s="74"/>
      <c r="E80" s="74"/>
    </row>
    <row r="81" spans="1:5">
      <c r="A81" s="141" t="s">
        <v>43</v>
      </c>
      <c r="B81" s="142"/>
      <c r="C81" s="98">
        <f>SUM(C78:C80)</f>
        <v>1468.09</v>
      </c>
      <c r="D81" s="74"/>
      <c r="E81" s="74"/>
    </row>
    <row r="82" spans="1:5">
      <c r="A82" s="84"/>
      <c r="B82" s="74"/>
      <c r="C82" s="74"/>
      <c r="D82" s="74"/>
      <c r="E82" s="74"/>
    </row>
    <row r="83" spans="1:5">
      <c r="A83" s="74"/>
      <c r="B83" s="74"/>
      <c r="C83" s="74"/>
      <c r="D83" s="74"/>
      <c r="E83" s="74"/>
    </row>
    <row r="84" spans="1:5">
      <c r="A84" s="140" t="s">
        <v>78</v>
      </c>
      <c r="B84" s="140"/>
      <c r="C84" s="140"/>
      <c r="D84" s="74"/>
      <c r="E84" s="74"/>
    </row>
    <row r="85" spans="1:5">
      <c r="A85" s="74"/>
      <c r="B85" s="74"/>
      <c r="C85" s="107"/>
      <c r="D85" s="74"/>
      <c r="E85" s="74"/>
    </row>
    <row r="86" spans="1:5">
      <c r="A86" s="93">
        <v>3</v>
      </c>
      <c r="B86" s="94" t="s">
        <v>79</v>
      </c>
      <c r="C86" s="94" t="s">
        <v>34</v>
      </c>
      <c r="D86" s="74"/>
      <c r="E86" s="74"/>
    </row>
    <row r="87" spans="1:5">
      <c r="A87" s="95" t="s">
        <v>8</v>
      </c>
      <c r="B87" s="109" t="s">
        <v>80</v>
      </c>
      <c r="C87" s="98">
        <f>TRUNC(($C$36+$C$46+$D$62+$C$72)*(0.4167%),2)</f>
        <v>12.15</v>
      </c>
      <c r="D87" s="74"/>
      <c r="E87" s="74"/>
    </row>
    <row r="88" spans="1:5">
      <c r="A88" s="95" t="s">
        <v>10</v>
      </c>
      <c r="B88" s="109" t="s">
        <v>81</v>
      </c>
      <c r="C88" s="98">
        <f>TRUNC(C87*8%,2)</f>
        <v>0.97</v>
      </c>
      <c r="D88" s="107"/>
      <c r="E88" s="74"/>
    </row>
    <row r="89" spans="1:5">
      <c r="A89" s="95" t="s">
        <v>13</v>
      </c>
      <c r="B89" s="109" t="s">
        <v>82</v>
      </c>
      <c r="C89" s="98">
        <f>TRUNC(($C$36+$C$46+$D$62+$C$72)*(0.16%),2)</f>
        <v>4.66</v>
      </c>
      <c r="D89" s="107"/>
      <c r="E89" s="74"/>
    </row>
    <row r="90" spans="1:5">
      <c r="A90" s="95" t="s">
        <v>16</v>
      </c>
      <c r="B90" s="109" t="s">
        <v>83</v>
      </c>
      <c r="C90" s="98">
        <f>TRUNC(($C$36+$C$81)*(1.944%),2)</f>
        <v>56.72</v>
      </c>
      <c r="D90" s="74"/>
      <c r="E90" s="74"/>
    </row>
    <row r="91" spans="1:5">
      <c r="A91" s="95" t="s">
        <v>39</v>
      </c>
      <c r="B91" s="109" t="s">
        <v>84</v>
      </c>
      <c r="C91" s="98">
        <f>TRUNC($C$62*$C$90,2)</f>
        <v>20.87</v>
      </c>
      <c r="D91" s="74"/>
      <c r="E91" s="74"/>
    </row>
    <row r="92" spans="1:5">
      <c r="A92" s="95" t="s">
        <v>41</v>
      </c>
      <c r="B92" s="109" t="s">
        <v>85</v>
      </c>
      <c r="C92" s="98">
        <f>TRUNC(($C$36+$C$81)*(3.2%),2)</f>
        <v>93.37</v>
      </c>
      <c r="D92" s="107"/>
      <c r="E92" s="74"/>
    </row>
    <row r="93" spans="1:5">
      <c r="A93" s="141" t="s">
        <v>43</v>
      </c>
      <c r="B93" s="142"/>
      <c r="C93" s="98">
        <f>SUM(C87:C92)</f>
        <v>188.74</v>
      </c>
      <c r="D93" s="74"/>
      <c r="E93" s="74"/>
    </row>
    <row r="94" spans="1:5">
      <c r="A94" s="74"/>
      <c r="B94" s="74"/>
      <c r="C94" s="74"/>
      <c r="D94" s="74"/>
      <c r="E94" s="74"/>
    </row>
    <row r="95" spans="1:5">
      <c r="A95" s="156" t="s">
        <v>86</v>
      </c>
      <c r="B95" s="156"/>
      <c r="C95" s="99" t="s">
        <v>51</v>
      </c>
      <c r="D95" s="110">
        <f>C36</f>
        <v>1450</v>
      </c>
      <c r="E95" s="74"/>
    </row>
    <row r="96" spans="1:5">
      <c r="A96" s="156"/>
      <c r="B96" s="156"/>
      <c r="C96" s="99" t="s">
        <v>87</v>
      </c>
      <c r="D96" s="110">
        <f>C81</f>
        <v>1468.09</v>
      </c>
      <c r="E96" s="74"/>
    </row>
    <row r="97" spans="1:5">
      <c r="A97" s="156"/>
      <c r="B97" s="156"/>
      <c r="C97" s="99" t="s">
        <v>88</v>
      </c>
      <c r="D97" s="110">
        <f>C93</f>
        <v>188.74</v>
      </c>
      <c r="E97" s="74"/>
    </row>
    <row r="98" spans="1:5">
      <c r="A98" s="156"/>
      <c r="B98" s="156"/>
      <c r="C98" s="99" t="s">
        <v>53</v>
      </c>
      <c r="D98" s="110">
        <f>SUM(D95:D97)</f>
        <v>3106.83</v>
      </c>
      <c r="E98" s="74"/>
    </row>
    <row r="99" spans="1:5">
      <c r="A99" s="140" t="s">
        <v>89</v>
      </c>
      <c r="B99" s="140"/>
      <c r="C99" s="140"/>
      <c r="D99" s="74"/>
      <c r="E99" s="74"/>
    </row>
    <row r="100" spans="1:5">
      <c r="A100" s="74"/>
      <c r="B100" s="74"/>
      <c r="C100" s="74"/>
      <c r="D100" s="74"/>
      <c r="E100" s="74"/>
    </row>
    <row r="101" spans="1:5">
      <c r="A101" s="74"/>
      <c r="B101" s="74"/>
      <c r="C101" s="74"/>
      <c r="D101" s="74"/>
      <c r="E101" s="74"/>
    </row>
    <row r="102" spans="1:5">
      <c r="A102" s="143" t="s">
        <v>90</v>
      </c>
      <c r="B102" s="144"/>
      <c r="C102" s="145"/>
      <c r="D102" s="74"/>
      <c r="E102" s="74"/>
    </row>
    <row r="103" spans="1:5">
      <c r="A103" s="84"/>
      <c r="B103" s="74"/>
      <c r="C103" s="74"/>
      <c r="D103" s="74"/>
      <c r="E103" s="74"/>
    </row>
    <row r="104" spans="1:5">
      <c r="A104" s="93" t="s">
        <v>91</v>
      </c>
      <c r="B104" s="94" t="s">
        <v>92</v>
      </c>
      <c r="C104" s="94" t="s">
        <v>34</v>
      </c>
      <c r="D104" s="74"/>
      <c r="E104" s="74"/>
    </row>
    <row r="105" spans="1:5">
      <c r="A105" s="95" t="s">
        <v>8</v>
      </c>
      <c r="B105" s="96" t="s">
        <v>93</v>
      </c>
      <c r="C105" s="98">
        <f>TRUNC((C36+C81+C93)*0.926%,2)</f>
        <v>28.76</v>
      </c>
      <c r="D105" s="74"/>
      <c r="E105" s="74"/>
    </row>
    <row r="106" spans="1:5">
      <c r="A106" s="95" t="s">
        <v>10</v>
      </c>
      <c r="B106" s="96" t="s">
        <v>94</v>
      </c>
      <c r="C106" s="98">
        <f>TRUNC((C36+C81+C93)*0.556%,2)</f>
        <v>17.27</v>
      </c>
      <c r="D106" s="74"/>
      <c r="E106" s="74"/>
    </row>
    <row r="107" spans="1:5">
      <c r="A107" s="95" t="s">
        <v>13</v>
      </c>
      <c r="B107" s="96" t="s">
        <v>95</v>
      </c>
      <c r="C107" s="98">
        <f>TRUNC((C36+C81+C93)*0.028%,2)</f>
        <v>0.86</v>
      </c>
      <c r="D107" s="74"/>
      <c r="E107" s="74"/>
    </row>
    <row r="108" spans="1:5">
      <c r="A108" s="95" t="s">
        <v>16</v>
      </c>
      <c r="B108" s="96" t="s">
        <v>96</v>
      </c>
      <c r="C108" s="98">
        <f>TRUNC((C36+C81+C93)*0.333%,2)</f>
        <v>10.34</v>
      </c>
      <c r="D108" s="74"/>
      <c r="E108" s="74"/>
    </row>
    <row r="109" spans="1:5">
      <c r="A109" s="95" t="s">
        <v>39</v>
      </c>
      <c r="B109" s="96" t="s">
        <v>97</v>
      </c>
      <c r="C109" s="98">
        <f>TRUNC((C36+C81+C93)*0.056%,2)</f>
        <v>1.73</v>
      </c>
      <c r="D109" s="74"/>
      <c r="E109" s="74"/>
    </row>
    <row r="110" spans="1:5">
      <c r="A110" s="95" t="s">
        <v>41</v>
      </c>
      <c r="B110" s="96" t="s">
        <v>98</v>
      </c>
      <c r="C110" s="98"/>
      <c r="D110" s="74"/>
      <c r="E110" s="74"/>
    </row>
    <row r="111" spans="1:5">
      <c r="A111" s="141" t="s">
        <v>68</v>
      </c>
      <c r="B111" s="142"/>
      <c r="C111" s="98">
        <f>SUM(C105:C110)</f>
        <v>58.96</v>
      </c>
      <c r="D111" s="74"/>
      <c r="E111" s="74"/>
    </row>
    <row r="112" spans="1:5">
      <c r="A112" s="74"/>
      <c r="B112" s="74"/>
      <c r="C112" s="74"/>
      <c r="D112" s="74"/>
      <c r="E112" s="74"/>
    </row>
    <row r="113" spans="1:5">
      <c r="A113" s="74"/>
      <c r="B113" s="74"/>
      <c r="C113" s="74"/>
      <c r="D113" s="74"/>
      <c r="E113" s="74"/>
    </row>
    <row r="114" spans="1:5">
      <c r="A114" s="143" t="s">
        <v>99</v>
      </c>
      <c r="B114" s="144"/>
      <c r="C114" s="145"/>
      <c r="D114" s="74"/>
      <c r="E114" s="74"/>
    </row>
    <row r="115" spans="1:5">
      <c r="A115" s="84"/>
      <c r="B115" s="74"/>
      <c r="C115" s="74"/>
      <c r="D115" s="74"/>
      <c r="E115" s="74"/>
    </row>
    <row r="116" spans="1:5">
      <c r="A116" s="93" t="s">
        <v>100</v>
      </c>
      <c r="B116" s="94" t="s">
        <v>101</v>
      </c>
      <c r="C116" s="94" t="s">
        <v>34</v>
      </c>
      <c r="D116" s="74"/>
      <c r="E116" s="74"/>
    </row>
    <row r="117" spans="1:5">
      <c r="A117" s="95" t="s">
        <v>8</v>
      </c>
      <c r="B117" s="96" t="s">
        <v>102</v>
      </c>
      <c r="C117" s="111"/>
      <c r="D117" s="74"/>
      <c r="E117" s="74"/>
    </row>
    <row r="118" spans="1:5">
      <c r="A118" s="141" t="s">
        <v>43</v>
      </c>
      <c r="B118" s="142"/>
      <c r="C118" s="98">
        <v>0</v>
      </c>
      <c r="D118" s="74"/>
      <c r="E118" s="74"/>
    </row>
    <row r="119" spans="1:5">
      <c r="A119" s="74"/>
      <c r="B119" s="74"/>
      <c r="C119" s="74"/>
      <c r="D119" s="74"/>
      <c r="E119" s="74"/>
    </row>
    <row r="120" spans="1:5">
      <c r="A120" s="74"/>
      <c r="B120" s="74"/>
      <c r="C120" s="74"/>
      <c r="D120" s="74"/>
      <c r="E120" s="74"/>
    </row>
    <row r="121" spans="1:5">
      <c r="A121" s="149" t="s">
        <v>103</v>
      </c>
      <c r="B121" s="150"/>
      <c r="C121" s="151"/>
      <c r="D121" s="74"/>
      <c r="E121" s="74"/>
    </row>
    <row r="122" spans="1:5">
      <c r="A122" s="84"/>
      <c r="B122" s="74"/>
      <c r="C122" s="74"/>
      <c r="D122" s="74"/>
      <c r="E122" s="74"/>
    </row>
    <row r="123" spans="1:5">
      <c r="A123" s="93">
        <v>4</v>
      </c>
      <c r="B123" s="94" t="s">
        <v>104</v>
      </c>
      <c r="C123" s="94" t="s">
        <v>34</v>
      </c>
      <c r="D123" s="74"/>
      <c r="E123" s="74"/>
    </row>
    <row r="124" spans="1:5">
      <c r="A124" s="95" t="s">
        <v>91</v>
      </c>
      <c r="B124" s="96" t="s">
        <v>92</v>
      </c>
      <c r="C124" s="98">
        <f>C111</f>
        <v>58.96</v>
      </c>
      <c r="D124" s="74"/>
      <c r="E124" s="74"/>
    </row>
    <row r="125" spans="1:5">
      <c r="A125" s="95" t="s">
        <v>100</v>
      </c>
      <c r="B125" s="96" t="s">
        <v>101</v>
      </c>
      <c r="C125" s="98">
        <f>C118</f>
        <v>0</v>
      </c>
      <c r="D125" s="74"/>
      <c r="E125" s="74"/>
    </row>
    <row r="126" spans="1:5">
      <c r="A126" s="141" t="s">
        <v>43</v>
      </c>
      <c r="B126" s="142"/>
      <c r="C126" s="98">
        <f>SUM(C124:C125)</f>
        <v>58.96</v>
      </c>
      <c r="D126" s="74"/>
      <c r="E126" s="74"/>
    </row>
    <row r="127" spans="1:5">
      <c r="A127" s="74"/>
      <c r="B127" s="74"/>
      <c r="C127" s="74"/>
      <c r="D127" s="74"/>
      <c r="E127" s="74"/>
    </row>
    <row r="128" spans="1:5">
      <c r="A128" s="74"/>
      <c r="B128" s="74"/>
      <c r="C128" s="74"/>
      <c r="D128" s="74"/>
      <c r="E128" s="74"/>
    </row>
    <row r="129" spans="1:5">
      <c r="A129" s="140" t="s">
        <v>105</v>
      </c>
      <c r="B129" s="140"/>
      <c r="C129" s="140"/>
      <c r="D129" s="74"/>
      <c r="E129" s="74"/>
    </row>
    <row r="130" spans="1:5">
      <c r="A130" s="112"/>
      <c r="B130" s="112"/>
      <c r="C130" s="112"/>
      <c r="D130" s="74"/>
      <c r="E130" s="74"/>
    </row>
    <row r="131" spans="1:5">
      <c r="A131" s="152" t="s">
        <v>106</v>
      </c>
      <c r="B131" s="152"/>
      <c r="C131" s="152"/>
      <c r="D131" s="152"/>
      <c r="E131" s="153"/>
    </row>
    <row r="132" spans="1:5">
      <c r="A132" s="113" t="s">
        <v>107</v>
      </c>
      <c r="B132" s="113" t="s">
        <v>108</v>
      </c>
      <c r="C132" s="114" t="s">
        <v>109</v>
      </c>
      <c r="D132" s="114" t="s">
        <v>110</v>
      </c>
      <c r="E132" s="115" t="s">
        <v>111</v>
      </c>
    </row>
    <row r="133" spans="1:5">
      <c r="A133" s="93">
        <v>1</v>
      </c>
      <c r="B133" s="80" t="s">
        <v>142</v>
      </c>
      <c r="C133" s="116">
        <v>4</v>
      </c>
      <c r="D133" s="117">
        <v>34.5</v>
      </c>
      <c r="E133" s="118">
        <f t="shared" ref="E133:E138" si="1">D133*C133</f>
        <v>138</v>
      </c>
    </row>
    <row r="134" spans="1:5">
      <c r="A134" s="95">
        <v>2</v>
      </c>
      <c r="B134" s="80" t="s">
        <v>143</v>
      </c>
      <c r="C134" s="116">
        <v>2</v>
      </c>
      <c r="D134" s="117">
        <v>58.83</v>
      </c>
      <c r="E134" s="118">
        <f t="shared" si="1"/>
        <v>117.66</v>
      </c>
    </row>
    <row r="135" spans="1:5">
      <c r="A135" s="95">
        <v>3</v>
      </c>
      <c r="B135" s="80" t="s">
        <v>144</v>
      </c>
      <c r="C135" s="116">
        <v>2</v>
      </c>
      <c r="D135" s="117">
        <v>10.95</v>
      </c>
      <c r="E135" s="118">
        <f t="shared" si="1"/>
        <v>21.9</v>
      </c>
    </row>
    <row r="136" spans="1:5">
      <c r="A136" s="95">
        <v>4</v>
      </c>
      <c r="B136" s="80" t="s">
        <v>145</v>
      </c>
      <c r="C136" s="116">
        <v>2</v>
      </c>
      <c r="D136" s="117">
        <v>69.87</v>
      </c>
      <c r="E136" s="118">
        <f t="shared" si="1"/>
        <v>139.74</v>
      </c>
    </row>
    <row r="137" spans="1:5" ht="29.1" customHeight="1">
      <c r="A137" s="95">
        <v>5</v>
      </c>
      <c r="B137" s="126" t="s">
        <v>146</v>
      </c>
      <c r="C137" s="127">
        <v>1</v>
      </c>
      <c r="D137" s="128">
        <v>93.61</v>
      </c>
      <c r="E137" s="118">
        <f t="shared" si="1"/>
        <v>93.61</v>
      </c>
    </row>
    <row r="138" spans="1:5">
      <c r="A138" s="95">
        <v>6</v>
      </c>
      <c r="B138" s="80" t="s">
        <v>147</v>
      </c>
      <c r="C138" s="116">
        <v>4</v>
      </c>
      <c r="D138" s="117">
        <v>4.32</v>
      </c>
      <c r="E138" s="118">
        <f t="shared" si="1"/>
        <v>17.28</v>
      </c>
    </row>
    <row r="139" spans="1:5">
      <c r="A139" s="154" t="s">
        <v>117</v>
      </c>
      <c r="B139" s="155"/>
      <c r="C139" s="119"/>
      <c r="D139" s="119"/>
      <c r="E139" s="120">
        <f>SUM(E133:E138)</f>
        <v>528.19000000000005</v>
      </c>
    </row>
    <row r="140" spans="1:5">
      <c r="A140" s="154" t="s">
        <v>118</v>
      </c>
      <c r="B140" s="155"/>
      <c r="C140" s="119"/>
      <c r="D140" s="119"/>
      <c r="E140" s="120">
        <f>E139/12</f>
        <v>44.015833333333298</v>
      </c>
    </row>
    <row r="141" spans="1:5">
      <c r="A141" s="112"/>
      <c r="B141" s="112"/>
      <c r="C141" s="112"/>
      <c r="D141" s="74"/>
      <c r="E141" s="74"/>
    </row>
    <row r="142" spans="1:5">
      <c r="A142" s="93">
        <v>5</v>
      </c>
      <c r="B142" s="121" t="s">
        <v>119</v>
      </c>
      <c r="C142" s="94" t="s">
        <v>34</v>
      </c>
      <c r="D142" s="74"/>
      <c r="E142" s="74"/>
    </row>
    <row r="143" spans="1:5">
      <c r="A143" s="95" t="s">
        <v>8</v>
      </c>
      <c r="B143" s="96" t="s">
        <v>120</v>
      </c>
      <c r="C143" s="98">
        <f>E140</f>
        <v>44.015833333333298</v>
      </c>
      <c r="D143" s="74"/>
      <c r="E143" s="74"/>
    </row>
    <row r="144" spans="1:5">
      <c r="A144" s="95" t="s">
        <v>10</v>
      </c>
      <c r="B144" s="96" t="s">
        <v>121</v>
      </c>
      <c r="C144" s="98">
        <v>0</v>
      </c>
      <c r="D144" s="74"/>
      <c r="E144" s="74"/>
    </row>
    <row r="145" spans="1:5">
      <c r="A145" s="95" t="s">
        <v>13</v>
      </c>
      <c r="B145" s="96" t="s">
        <v>122</v>
      </c>
      <c r="C145" s="98">
        <f>'Equipamentos Uso Coletivo'!G7</f>
        <v>2.82</v>
      </c>
      <c r="D145" s="74"/>
      <c r="E145" s="74"/>
    </row>
    <row r="146" spans="1:5">
      <c r="A146" s="95" t="s">
        <v>16</v>
      </c>
      <c r="B146" s="96" t="s">
        <v>123</v>
      </c>
      <c r="C146" s="98"/>
      <c r="D146" s="74"/>
      <c r="E146" s="74"/>
    </row>
    <row r="147" spans="1:5">
      <c r="A147" s="141" t="s">
        <v>68</v>
      </c>
      <c r="B147" s="142"/>
      <c r="C147" s="98">
        <f>SUM(C143:C146)</f>
        <v>46.835833333333298</v>
      </c>
      <c r="D147" s="74"/>
      <c r="E147" s="74"/>
    </row>
    <row r="148" spans="1:5">
      <c r="A148" s="74"/>
      <c r="B148" s="74"/>
      <c r="C148" s="74"/>
      <c r="D148" s="74"/>
      <c r="E148" s="74"/>
    </row>
    <row r="149" spans="1:5">
      <c r="A149" s="74"/>
      <c r="B149" s="74"/>
      <c r="C149" s="74"/>
      <c r="D149" s="74"/>
      <c r="E149" s="74"/>
    </row>
    <row r="150" spans="1:5">
      <c r="A150" s="156" t="s">
        <v>124</v>
      </c>
      <c r="B150" s="156"/>
      <c r="C150" s="156"/>
      <c r="D150" s="99" t="s">
        <v>51</v>
      </c>
      <c r="E150" s="100">
        <f>C36</f>
        <v>1450</v>
      </c>
    </row>
    <row r="151" spans="1:5">
      <c r="A151" s="156"/>
      <c r="B151" s="156"/>
      <c r="C151" s="156"/>
      <c r="D151" s="99" t="s">
        <v>87</v>
      </c>
      <c r="E151" s="100">
        <f>C81</f>
        <v>1468.09</v>
      </c>
    </row>
    <row r="152" spans="1:5">
      <c r="A152" s="156"/>
      <c r="B152" s="156"/>
      <c r="C152" s="156"/>
      <c r="D152" s="99" t="s">
        <v>88</v>
      </c>
      <c r="E152" s="100">
        <f>C93</f>
        <v>188.74</v>
      </c>
    </row>
    <row r="153" spans="1:5">
      <c r="A153" s="156"/>
      <c r="B153" s="156"/>
      <c r="C153" s="156"/>
      <c r="D153" s="99" t="s">
        <v>125</v>
      </c>
      <c r="E153" s="100">
        <f>C126</f>
        <v>58.96</v>
      </c>
    </row>
    <row r="154" spans="1:5">
      <c r="A154" s="156"/>
      <c r="B154" s="156"/>
      <c r="C154" s="156"/>
      <c r="D154" s="99" t="s">
        <v>126</v>
      </c>
      <c r="E154" s="100">
        <f>C147</f>
        <v>46.835833333333298</v>
      </c>
    </row>
    <row r="155" spans="1:5">
      <c r="A155" s="156"/>
      <c r="B155" s="156"/>
      <c r="C155" s="156"/>
      <c r="D155" s="99" t="s">
        <v>53</v>
      </c>
      <c r="E155" s="100">
        <f>SUM(E150:E154)</f>
        <v>3212.625833333333</v>
      </c>
    </row>
    <row r="156" spans="1:5">
      <c r="A156" s="140" t="s">
        <v>127</v>
      </c>
      <c r="B156" s="140"/>
      <c r="C156" s="140"/>
      <c r="D156" s="74"/>
      <c r="E156" s="74"/>
    </row>
    <row r="157" spans="1:5">
      <c r="A157" s="74"/>
      <c r="B157" s="74"/>
      <c r="C157" s="74"/>
      <c r="D157" s="74"/>
      <c r="E157" s="74"/>
    </row>
    <row r="158" spans="1:5" ht="25.5">
      <c r="A158" s="93">
        <v>6</v>
      </c>
      <c r="B158" s="121" t="s">
        <v>128</v>
      </c>
      <c r="C158" s="94" t="s">
        <v>57</v>
      </c>
      <c r="D158" s="94" t="s">
        <v>34</v>
      </c>
      <c r="E158" s="74"/>
    </row>
    <row r="159" spans="1:5">
      <c r="A159" s="95" t="s">
        <v>8</v>
      </c>
      <c r="B159" s="96" t="s">
        <v>123</v>
      </c>
      <c r="C159" s="122">
        <v>0.05</v>
      </c>
      <c r="D159" s="108">
        <f>C176*C159</f>
        <v>160.631</v>
      </c>
      <c r="E159" s="74"/>
    </row>
    <row r="160" spans="1:5">
      <c r="A160" s="95" t="s">
        <v>10</v>
      </c>
      <c r="B160" s="96" t="s">
        <v>129</v>
      </c>
      <c r="C160" s="122">
        <v>0.1</v>
      </c>
      <c r="D160" s="108">
        <f>(C176+D159)*C160</f>
        <v>337.32510000000002</v>
      </c>
      <c r="E160" s="74"/>
    </row>
    <row r="161" spans="1:5">
      <c r="A161" s="95" t="s">
        <v>13</v>
      </c>
      <c r="B161" s="96" t="s">
        <v>130</v>
      </c>
      <c r="C161" s="122">
        <v>8.6499999999999994E-2</v>
      </c>
      <c r="D161" s="123"/>
      <c r="E161" s="107">
        <f>(C176+D159+D160)/(1-C161)</f>
        <v>4061.9333333333334</v>
      </c>
    </row>
    <row r="162" spans="1:5">
      <c r="A162" s="95"/>
      <c r="B162" s="96" t="s">
        <v>131</v>
      </c>
      <c r="C162" s="122">
        <v>6.4999999999999997E-3</v>
      </c>
      <c r="D162" s="108">
        <f>$E$161*C162</f>
        <v>26.402566666666665</v>
      </c>
      <c r="E162" s="74"/>
    </row>
    <row r="163" spans="1:5">
      <c r="A163" s="95"/>
      <c r="B163" s="96" t="s">
        <v>132</v>
      </c>
      <c r="C163" s="122">
        <v>0.03</v>
      </c>
      <c r="D163" s="108">
        <f>$E$161*C163</f>
        <v>121.858</v>
      </c>
      <c r="E163" s="74"/>
    </row>
    <row r="164" spans="1:5">
      <c r="A164" s="95"/>
      <c r="B164" s="96" t="s">
        <v>133</v>
      </c>
      <c r="C164" s="122">
        <v>0.05</v>
      </c>
      <c r="D164" s="108">
        <f t="shared" ref="D164" si="2">$E$161*C164</f>
        <v>203.09666666666669</v>
      </c>
      <c r="E164" s="74"/>
    </row>
    <row r="165" spans="1:5">
      <c r="A165" s="141" t="s">
        <v>68</v>
      </c>
      <c r="B165" s="142"/>
      <c r="C165" s="106"/>
      <c r="D165" s="108">
        <f>TRUNC(SUM(D159:D164),2)</f>
        <v>849.31</v>
      </c>
      <c r="E165" s="107"/>
    </row>
    <row r="166" spans="1:5">
      <c r="A166" s="74"/>
      <c r="B166" s="74"/>
      <c r="C166" s="74"/>
      <c r="D166" s="107"/>
      <c r="E166" s="74"/>
    </row>
    <row r="167" spans="1:5">
      <c r="A167" s="74"/>
      <c r="B167" s="74"/>
      <c r="C167" s="74"/>
      <c r="D167" s="74"/>
      <c r="E167" s="74"/>
    </row>
    <row r="168" spans="1:5">
      <c r="A168" s="149" t="s">
        <v>134</v>
      </c>
      <c r="B168" s="150"/>
      <c r="C168" s="151"/>
      <c r="D168" s="74"/>
      <c r="E168" s="74"/>
    </row>
    <row r="169" spans="1:5">
      <c r="A169" s="74"/>
      <c r="B169" s="74"/>
      <c r="C169" s="74"/>
      <c r="D169" s="74"/>
      <c r="E169" s="74"/>
    </row>
    <row r="170" spans="1:5">
      <c r="A170" s="93"/>
      <c r="B170" s="94" t="s">
        <v>135</v>
      </c>
      <c r="C170" s="94" t="s">
        <v>34</v>
      </c>
      <c r="D170" s="74"/>
      <c r="E170" s="74"/>
    </row>
    <row r="171" spans="1:5">
      <c r="A171" s="95" t="s">
        <v>8</v>
      </c>
      <c r="B171" s="96" t="s">
        <v>32</v>
      </c>
      <c r="C171" s="124">
        <f>C36</f>
        <v>1450</v>
      </c>
      <c r="D171" s="74"/>
      <c r="E171" s="74"/>
    </row>
    <row r="172" spans="1:5">
      <c r="A172" s="95" t="s">
        <v>10</v>
      </c>
      <c r="B172" s="96" t="s">
        <v>44</v>
      </c>
      <c r="C172" s="124">
        <f>C81</f>
        <v>1468.09</v>
      </c>
      <c r="D172" s="74"/>
      <c r="E172" s="74"/>
    </row>
    <row r="173" spans="1:5">
      <c r="A173" s="95" t="s">
        <v>13</v>
      </c>
      <c r="B173" s="96" t="s">
        <v>78</v>
      </c>
      <c r="C173" s="124">
        <f>C93</f>
        <v>188.74</v>
      </c>
      <c r="D173" s="74"/>
      <c r="E173" s="74"/>
    </row>
    <row r="174" spans="1:5">
      <c r="A174" s="95" t="s">
        <v>16</v>
      </c>
      <c r="B174" s="96" t="s">
        <v>89</v>
      </c>
      <c r="C174" s="124">
        <f>C126</f>
        <v>58.96</v>
      </c>
      <c r="D174" s="74"/>
      <c r="E174" s="74"/>
    </row>
    <row r="175" spans="1:5">
      <c r="A175" s="95" t="s">
        <v>39</v>
      </c>
      <c r="B175" s="96" t="s">
        <v>105</v>
      </c>
      <c r="C175" s="124">
        <f>C147</f>
        <v>46.835833333333298</v>
      </c>
      <c r="D175" s="74"/>
      <c r="E175" s="74"/>
    </row>
    <row r="176" spans="1:5">
      <c r="A176" s="141" t="s">
        <v>136</v>
      </c>
      <c r="B176" s="142"/>
      <c r="C176" s="124">
        <f>TRUNC(SUM(C171:C175),2)</f>
        <v>3212.62</v>
      </c>
      <c r="D176" s="74"/>
      <c r="E176" s="74"/>
    </row>
    <row r="177" spans="1:6">
      <c r="A177" s="95" t="s">
        <v>41</v>
      </c>
      <c r="B177" s="96" t="s">
        <v>137</v>
      </c>
      <c r="C177" s="124">
        <f>D165</f>
        <v>849.31</v>
      </c>
      <c r="D177" s="74"/>
      <c r="E177" s="74"/>
    </row>
    <row r="178" spans="1:6">
      <c r="A178" s="141" t="s">
        <v>138</v>
      </c>
      <c r="B178" s="142"/>
      <c r="C178" s="124">
        <f>C176+C177</f>
        <v>4061.93</v>
      </c>
      <c r="D178" s="74"/>
      <c r="E178" s="74"/>
    </row>
    <row r="179" spans="1:6">
      <c r="A179" s="74"/>
      <c r="B179" s="74"/>
      <c r="C179" s="74"/>
      <c r="D179" s="74"/>
      <c r="E179" s="74"/>
    </row>
    <row r="181" spans="1:6">
      <c r="A181"/>
      <c r="B181"/>
      <c r="C181"/>
      <c r="D181"/>
      <c r="E181"/>
      <c r="F181"/>
    </row>
    <row r="182" spans="1:6">
      <c r="A182"/>
      <c r="B182"/>
      <c r="C182"/>
      <c r="D182"/>
      <c r="E182"/>
      <c r="F182"/>
    </row>
    <row r="183" spans="1:6">
      <c r="A183" s="73"/>
      <c r="B183" s="73"/>
      <c r="C183" s="74"/>
      <c r="E183" s="11"/>
      <c r="F183"/>
    </row>
    <row r="184" spans="1:6">
      <c r="A184" s="75"/>
      <c r="B184" s="75"/>
      <c r="C184" s="11"/>
      <c r="E184" s="11"/>
      <c r="F184"/>
    </row>
    <row r="185" spans="1:6">
      <c r="C185" s="11"/>
      <c r="E185" s="11"/>
      <c r="F185"/>
    </row>
    <row r="186" spans="1:6">
      <c r="A186" s="10"/>
      <c r="B186" s="75"/>
      <c r="C186" s="11"/>
      <c r="E186" s="11"/>
      <c r="F186"/>
    </row>
    <row r="187" spans="1:6">
      <c r="A187" s="77"/>
      <c r="B187" s="77"/>
      <c r="C187" s="77"/>
      <c r="E187" s="11"/>
      <c r="F187"/>
    </row>
    <row r="189" spans="1:6">
      <c r="B189" s="73"/>
    </row>
    <row r="190" spans="1:6">
      <c r="B190" s="75"/>
    </row>
    <row r="192" spans="1:6">
      <c r="B192" s="75"/>
    </row>
    <row r="193" spans="2:2">
      <c r="B193" s="77"/>
    </row>
  </sheetData>
  <mergeCells count="50">
    <mergeCell ref="A176:B176"/>
    <mergeCell ref="A178:B178"/>
    <mergeCell ref="A48:B50"/>
    <mergeCell ref="A95:B98"/>
    <mergeCell ref="A150:C155"/>
    <mergeCell ref="A140:B140"/>
    <mergeCell ref="A147:B147"/>
    <mergeCell ref="A156:C156"/>
    <mergeCell ref="A165:B165"/>
    <mergeCell ref="A168:C168"/>
    <mergeCell ref="A121:C121"/>
    <mergeCell ref="A126:B126"/>
    <mergeCell ref="A129:C129"/>
    <mergeCell ref="A131:E131"/>
    <mergeCell ref="A139:B139"/>
    <mergeCell ref="A99:C99"/>
    <mergeCell ref="A102:C102"/>
    <mergeCell ref="A111:B111"/>
    <mergeCell ref="A114:C114"/>
    <mergeCell ref="A118:B118"/>
    <mergeCell ref="A72:B72"/>
    <mergeCell ref="A75:C75"/>
    <mergeCell ref="A81:B81"/>
    <mergeCell ref="A84:C84"/>
    <mergeCell ref="A93:B93"/>
    <mergeCell ref="A41:C41"/>
    <mergeCell ref="A46:B46"/>
    <mergeCell ref="A51:D51"/>
    <mergeCell ref="A62:B62"/>
    <mergeCell ref="A65:C65"/>
    <mergeCell ref="C22:E22"/>
    <mergeCell ref="C23:E23"/>
    <mergeCell ref="A27:C27"/>
    <mergeCell ref="A36:B36"/>
    <mergeCell ref="A39:C39"/>
    <mergeCell ref="C16:D16"/>
    <mergeCell ref="A18:E18"/>
    <mergeCell ref="A19:E19"/>
    <mergeCell ref="C20:E20"/>
    <mergeCell ref="C21:E21"/>
    <mergeCell ref="C10:E10"/>
    <mergeCell ref="C11:E11"/>
    <mergeCell ref="C12:E12"/>
    <mergeCell ref="A14:C14"/>
    <mergeCell ref="C15:E15"/>
    <mergeCell ref="A1:D1"/>
    <mergeCell ref="A2:D2"/>
    <mergeCell ref="A3:D3"/>
    <mergeCell ref="A8:E8"/>
    <mergeCell ref="C9:E9"/>
  </mergeCells>
  <pageMargins left="0.511811024" right="0.511811024" top="0.78740157499999996" bottom="0.78740157499999996" header="0.31496062000000002" footer="0.31496062000000002"/>
  <pageSetup paperSize="9" scale="71" orientation="portrait"/>
  <rowBreaks count="2" manualBreakCount="2">
    <brk id="63" max="6" man="1"/>
    <brk id="127" max="6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6"/>
  <sheetViews>
    <sheetView showGridLines="0" zoomScale="90" zoomScaleNormal="90" workbookViewId="0">
      <selection activeCell="F56" sqref="F56"/>
    </sheetView>
  </sheetViews>
  <sheetFormatPr defaultColWidth="9.140625" defaultRowHeight="15.75"/>
  <cols>
    <col min="1" max="1" width="14.140625" style="76" customWidth="1"/>
    <col min="2" max="2" width="71" style="76" customWidth="1"/>
    <col min="3" max="3" width="12.42578125" style="76" customWidth="1"/>
    <col min="4" max="4" width="19.140625" style="76" customWidth="1"/>
    <col min="5" max="5" width="10.5703125" style="76" customWidth="1"/>
    <col min="6" max="6" width="12" style="76" customWidth="1"/>
    <col min="7" max="7" width="15.140625" style="76" customWidth="1"/>
    <col min="8" max="16384" width="9.140625" style="76"/>
  </cols>
  <sheetData>
    <row r="1" spans="1:5">
      <c r="A1" s="129" t="s">
        <v>0</v>
      </c>
      <c r="B1" s="129"/>
      <c r="C1" s="129"/>
      <c r="D1" s="129"/>
      <c r="E1" s="74"/>
    </row>
    <row r="2" spans="1:5">
      <c r="A2" s="129" t="s">
        <v>1</v>
      </c>
      <c r="B2" s="129"/>
      <c r="C2" s="129"/>
      <c r="D2" s="129"/>
      <c r="E2" s="74"/>
    </row>
    <row r="3" spans="1:5">
      <c r="A3" s="130" t="s">
        <v>2</v>
      </c>
      <c r="B3" s="130"/>
      <c r="C3" s="130"/>
      <c r="D3" s="130"/>
      <c r="E3" s="74"/>
    </row>
    <row r="4" spans="1:5">
      <c r="A4" s="80" t="s">
        <v>3</v>
      </c>
      <c r="B4" s="81" t="s">
        <v>4</v>
      </c>
      <c r="C4" s="79"/>
      <c r="D4" s="79"/>
      <c r="E4" s="74"/>
    </row>
    <row r="5" spans="1:5">
      <c r="A5" s="80" t="s">
        <v>5</v>
      </c>
      <c r="B5" s="82"/>
      <c r="C5" s="79"/>
      <c r="D5" s="79"/>
      <c r="E5" s="74"/>
    </row>
    <row r="6" spans="1:5">
      <c r="A6" s="83" t="s">
        <v>6</v>
      </c>
      <c r="B6" s="83"/>
      <c r="C6" s="79"/>
      <c r="D6" s="79"/>
      <c r="E6" s="74"/>
    </row>
    <row r="7" spans="1:5">
      <c r="A7" s="84"/>
      <c r="B7" s="84"/>
      <c r="C7" s="79"/>
      <c r="D7" s="79"/>
      <c r="E7" s="74"/>
    </row>
    <row r="8" spans="1:5">
      <c r="A8" s="131" t="s">
        <v>7</v>
      </c>
      <c r="B8" s="131"/>
      <c r="C8" s="131"/>
      <c r="D8" s="131"/>
      <c r="E8" s="131"/>
    </row>
    <row r="9" spans="1:5">
      <c r="A9" s="85" t="s">
        <v>8</v>
      </c>
      <c r="B9" s="86" t="s">
        <v>9</v>
      </c>
      <c r="C9" s="132"/>
      <c r="D9" s="132"/>
      <c r="E9" s="132"/>
    </row>
    <row r="10" spans="1:5">
      <c r="A10" s="85" t="s">
        <v>10</v>
      </c>
      <c r="B10" s="86" t="s">
        <v>11</v>
      </c>
      <c r="C10" s="133" t="s">
        <v>12</v>
      </c>
      <c r="D10" s="133"/>
      <c r="E10" s="133"/>
    </row>
    <row r="11" spans="1:5">
      <c r="A11" s="85" t="s">
        <v>13</v>
      </c>
      <c r="B11" s="86" t="s">
        <v>14</v>
      </c>
      <c r="C11" s="133" t="s">
        <v>148</v>
      </c>
      <c r="D11" s="133"/>
      <c r="E11" s="133"/>
    </row>
    <row r="12" spans="1:5">
      <c r="A12" s="85" t="s">
        <v>16</v>
      </c>
      <c r="B12" s="86" t="s">
        <v>17</v>
      </c>
      <c r="C12" s="133">
        <v>12</v>
      </c>
      <c r="D12" s="133"/>
      <c r="E12" s="133"/>
    </row>
    <row r="13" spans="1:5">
      <c r="A13" s="87"/>
      <c r="B13" s="87"/>
      <c r="C13" s="87"/>
      <c r="D13" s="87"/>
      <c r="E13" s="87"/>
    </row>
    <row r="14" spans="1:5">
      <c r="A14" s="134" t="s">
        <v>18</v>
      </c>
      <c r="B14" s="134"/>
      <c r="C14" s="134"/>
      <c r="D14" s="88"/>
      <c r="E14" s="87"/>
    </row>
    <row r="15" spans="1:5" ht="28.15" customHeight="1">
      <c r="A15" s="85" t="s">
        <v>19</v>
      </c>
      <c r="B15" s="85" t="s">
        <v>20</v>
      </c>
      <c r="C15" s="135" t="s">
        <v>21</v>
      </c>
      <c r="D15" s="135"/>
      <c r="E15" s="135"/>
    </row>
    <row r="16" spans="1:5" ht="38.25" customHeight="1">
      <c r="A16" s="89" t="s">
        <v>149</v>
      </c>
      <c r="B16" s="85" t="s">
        <v>23</v>
      </c>
      <c r="C16" s="158" t="s">
        <v>150</v>
      </c>
      <c r="D16" s="136"/>
      <c r="E16" s="90">
        <v>3</v>
      </c>
    </row>
    <row r="17" spans="1:5">
      <c r="A17" s="87"/>
      <c r="B17" s="87"/>
      <c r="C17" s="87"/>
      <c r="D17" s="87"/>
      <c r="E17" s="87"/>
    </row>
    <row r="18" spans="1:5">
      <c r="A18" s="134" t="s">
        <v>25</v>
      </c>
      <c r="B18" s="134"/>
      <c r="C18" s="134"/>
      <c r="D18" s="134"/>
      <c r="E18" s="134"/>
    </row>
    <row r="19" spans="1:5">
      <c r="A19" s="137" t="s">
        <v>26</v>
      </c>
      <c r="B19" s="137"/>
      <c r="C19" s="137"/>
      <c r="D19" s="137"/>
      <c r="E19" s="137"/>
    </row>
    <row r="20" spans="1:5" ht="33" customHeight="1">
      <c r="A20" s="85">
        <v>1</v>
      </c>
      <c r="B20" s="91" t="s">
        <v>27</v>
      </c>
      <c r="C20" s="135" t="s">
        <v>150</v>
      </c>
      <c r="D20" s="135"/>
      <c r="E20" s="135"/>
    </row>
    <row r="21" spans="1:5" ht="21" customHeight="1">
      <c r="A21" s="85">
        <v>2</v>
      </c>
      <c r="B21" s="92" t="s">
        <v>28</v>
      </c>
      <c r="C21" s="138">
        <v>1482.27</v>
      </c>
      <c r="D21" s="138"/>
      <c r="E21" s="138"/>
    </row>
    <row r="22" spans="1:5" ht="33" customHeight="1">
      <c r="A22" s="85">
        <v>3</v>
      </c>
      <c r="B22" s="91" t="s">
        <v>29</v>
      </c>
      <c r="C22" s="139" t="s">
        <v>151</v>
      </c>
      <c r="D22" s="139"/>
      <c r="E22" s="139"/>
    </row>
    <row r="23" spans="1:5">
      <c r="A23" s="85">
        <v>4</v>
      </c>
      <c r="B23" s="92" t="s">
        <v>31</v>
      </c>
      <c r="C23" s="132">
        <v>45778</v>
      </c>
      <c r="D23" s="132"/>
      <c r="E23" s="132"/>
    </row>
    <row r="24" spans="1:5">
      <c r="A24" s="79"/>
      <c r="B24" s="79"/>
      <c r="C24" s="79"/>
      <c r="D24" s="79"/>
      <c r="E24" s="74"/>
    </row>
    <row r="25" spans="1:5">
      <c r="A25" s="74"/>
      <c r="B25" s="74"/>
      <c r="C25" s="74"/>
      <c r="D25" s="74"/>
      <c r="E25" s="74"/>
    </row>
    <row r="26" spans="1:5">
      <c r="A26" s="74"/>
      <c r="B26" s="74"/>
      <c r="C26" s="74"/>
      <c r="D26" s="74"/>
      <c r="E26" s="74"/>
    </row>
    <row r="27" spans="1:5">
      <c r="A27" s="140" t="s">
        <v>32</v>
      </c>
      <c r="B27" s="140"/>
      <c r="C27" s="140"/>
      <c r="D27" s="74"/>
      <c r="E27" s="74"/>
    </row>
    <row r="28" spans="1:5">
      <c r="A28" s="74"/>
      <c r="B28" s="74"/>
      <c r="C28" s="74"/>
      <c r="D28" s="74"/>
      <c r="E28" s="74"/>
    </row>
    <row r="29" spans="1:5">
      <c r="A29" s="93">
        <v>1</v>
      </c>
      <c r="B29" s="94" t="s">
        <v>33</v>
      </c>
      <c r="C29" s="94" t="s">
        <v>34</v>
      </c>
      <c r="D29" s="74"/>
      <c r="E29" s="74"/>
    </row>
    <row r="30" spans="1:5">
      <c r="A30" s="95" t="s">
        <v>8</v>
      </c>
      <c r="B30" s="96" t="s">
        <v>35</v>
      </c>
      <c r="C30" s="97">
        <v>1482.27</v>
      </c>
      <c r="D30" s="74"/>
      <c r="E30" s="74"/>
    </row>
    <row r="31" spans="1:5">
      <c r="A31" s="95" t="s">
        <v>10</v>
      </c>
      <c r="B31" s="96" t="s">
        <v>36</v>
      </c>
      <c r="C31" s="98"/>
      <c r="D31" s="74"/>
      <c r="E31" s="74"/>
    </row>
    <row r="32" spans="1:5">
      <c r="A32" s="95" t="s">
        <v>13</v>
      </c>
      <c r="B32" s="96" t="s">
        <v>37</v>
      </c>
      <c r="C32" s="98"/>
      <c r="D32" s="74"/>
      <c r="E32" s="74"/>
    </row>
    <row r="33" spans="1:5">
      <c r="A33" s="95" t="s">
        <v>16</v>
      </c>
      <c r="B33" s="96" t="s">
        <v>38</v>
      </c>
      <c r="C33" s="98"/>
      <c r="D33" s="74"/>
      <c r="E33" s="74"/>
    </row>
    <row r="34" spans="1:5">
      <c r="A34" s="95" t="s">
        <v>39</v>
      </c>
      <c r="B34" s="96" t="s">
        <v>40</v>
      </c>
      <c r="C34" s="98"/>
      <c r="D34" s="74"/>
      <c r="E34" s="74"/>
    </row>
    <row r="35" spans="1:5">
      <c r="A35" s="95" t="s">
        <v>41</v>
      </c>
      <c r="B35" s="96" t="s">
        <v>42</v>
      </c>
      <c r="C35" s="98"/>
      <c r="D35" s="74"/>
      <c r="E35" s="74"/>
    </row>
    <row r="36" spans="1:5">
      <c r="A36" s="141" t="s">
        <v>43</v>
      </c>
      <c r="B36" s="142"/>
      <c r="C36" s="98">
        <f>SUM(C30:C35)</f>
        <v>1482.27</v>
      </c>
      <c r="D36" s="74"/>
      <c r="E36" s="74"/>
    </row>
    <row r="37" spans="1:5">
      <c r="A37" s="74"/>
      <c r="B37" s="74"/>
      <c r="C37" s="74"/>
      <c r="D37" s="74"/>
      <c r="E37" s="74"/>
    </row>
    <row r="38" spans="1:5">
      <c r="A38" s="74"/>
      <c r="B38" s="74"/>
      <c r="C38" s="74"/>
      <c r="D38" s="74"/>
      <c r="E38" s="74"/>
    </row>
    <row r="39" spans="1:5">
      <c r="A39" s="140" t="s">
        <v>44</v>
      </c>
      <c r="B39" s="140"/>
      <c r="C39" s="140"/>
      <c r="D39" s="74"/>
      <c r="E39" s="74"/>
    </row>
    <row r="40" spans="1:5">
      <c r="A40" s="84"/>
      <c r="B40" s="74"/>
      <c r="C40" s="74"/>
      <c r="D40" s="74"/>
      <c r="E40" s="74"/>
    </row>
    <row r="41" spans="1:5">
      <c r="A41" s="143" t="s">
        <v>45</v>
      </c>
      <c r="B41" s="144"/>
      <c r="C41" s="145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93" t="s">
        <v>46</v>
      </c>
      <c r="B43" s="94" t="s">
        <v>47</v>
      </c>
      <c r="C43" s="94" t="s">
        <v>34</v>
      </c>
      <c r="D43" s="74"/>
      <c r="E43" s="74"/>
    </row>
    <row r="44" spans="1:5">
      <c r="A44" s="95" t="s">
        <v>8</v>
      </c>
      <c r="B44" s="96" t="s">
        <v>48</v>
      </c>
      <c r="C44" s="98">
        <f>TRUNC(C36*8.33%,2)</f>
        <v>123.47</v>
      </c>
      <c r="D44" s="74"/>
      <c r="E44" s="74"/>
    </row>
    <row r="45" spans="1:5">
      <c r="A45" s="95" t="s">
        <v>10</v>
      </c>
      <c r="B45" s="96" t="s">
        <v>49</v>
      </c>
      <c r="C45" s="98">
        <f>TRUNC(C36*12.1%,2)</f>
        <v>179.35</v>
      </c>
      <c r="D45" s="74"/>
      <c r="E45" s="74"/>
    </row>
    <row r="46" spans="1:5">
      <c r="A46" s="141" t="s">
        <v>43</v>
      </c>
      <c r="B46" s="142"/>
      <c r="C46" s="98">
        <f>SUM(C44:C45)</f>
        <v>302.82</v>
      </c>
      <c r="D46" s="74"/>
      <c r="E46" s="74"/>
    </row>
    <row r="47" spans="1:5">
      <c r="A47" s="74"/>
      <c r="B47" s="74"/>
      <c r="C47" s="74"/>
      <c r="D47" s="74"/>
      <c r="E47" s="74"/>
    </row>
    <row r="48" spans="1:5">
      <c r="A48" s="156" t="s">
        <v>50</v>
      </c>
      <c r="B48" s="156"/>
      <c r="C48" s="99" t="s">
        <v>51</v>
      </c>
      <c r="D48" s="100">
        <f>C36</f>
        <v>1482.27</v>
      </c>
      <c r="E48" s="74"/>
    </row>
    <row r="49" spans="1:6" ht="15.95" customHeight="1">
      <c r="A49" s="156"/>
      <c r="B49" s="156"/>
      <c r="C49" s="101" t="s">
        <v>52</v>
      </c>
      <c r="D49" s="102">
        <f>C46</f>
        <v>302.82</v>
      </c>
      <c r="E49" s="74"/>
    </row>
    <row r="50" spans="1:6" ht="18" customHeight="1">
      <c r="A50" s="157"/>
      <c r="B50" s="157"/>
      <c r="C50" s="103" t="s">
        <v>53</v>
      </c>
      <c r="D50" s="104">
        <f>SUM(D48:D49)</f>
        <v>1785.09</v>
      </c>
      <c r="E50" s="74"/>
      <c r="F50" s="105"/>
    </row>
    <row r="51" spans="1:6" ht="32.25" customHeight="1">
      <c r="A51" s="146" t="s">
        <v>54</v>
      </c>
      <c r="B51" s="147"/>
      <c r="C51" s="147"/>
      <c r="D51" s="148"/>
      <c r="E51" s="74"/>
    </row>
    <row r="52" spans="1:6">
      <c r="A52" s="74"/>
      <c r="B52" s="74"/>
      <c r="C52" s="74"/>
      <c r="D52" s="74"/>
      <c r="E52" s="74"/>
    </row>
    <row r="53" spans="1:6">
      <c r="A53" s="93" t="s">
        <v>55</v>
      </c>
      <c r="B53" s="94" t="s">
        <v>56</v>
      </c>
      <c r="C53" s="94" t="s">
        <v>57</v>
      </c>
      <c r="D53" s="94" t="s">
        <v>34</v>
      </c>
      <c r="E53" s="74"/>
    </row>
    <row r="54" spans="1:6">
      <c r="A54" s="95" t="s">
        <v>8</v>
      </c>
      <c r="B54" s="96" t="s">
        <v>58</v>
      </c>
      <c r="C54" s="106">
        <v>0.2</v>
      </c>
      <c r="D54" s="98">
        <f t="shared" ref="D54:D62" si="0">TRUNC(($C$36+$C$46)*C54,2)</f>
        <v>357.01</v>
      </c>
      <c r="E54" s="74"/>
    </row>
    <row r="55" spans="1:6">
      <c r="A55" s="95" t="s">
        <v>10</v>
      </c>
      <c r="B55" s="96" t="s">
        <v>59</v>
      </c>
      <c r="C55" s="106">
        <v>2.5000000000000001E-2</v>
      </c>
      <c r="D55" s="98">
        <f t="shared" si="0"/>
        <v>44.62</v>
      </c>
      <c r="E55" s="74"/>
    </row>
    <row r="56" spans="1:6">
      <c r="A56" s="95" t="s">
        <v>13</v>
      </c>
      <c r="B56" s="96" t="s">
        <v>60</v>
      </c>
      <c r="C56" s="106">
        <v>0.03</v>
      </c>
      <c r="D56" s="98">
        <f t="shared" si="0"/>
        <v>53.55</v>
      </c>
      <c r="E56" s="74"/>
    </row>
    <row r="57" spans="1:6">
      <c r="A57" s="95" t="s">
        <v>16</v>
      </c>
      <c r="B57" s="96" t="s">
        <v>61</v>
      </c>
      <c r="C57" s="106">
        <v>1.4999999999999999E-2</v>
      </c>
      <c r="D57" s="98">
        <f t="shared" si="0"/>
        <v>26.77</v>
      </c>
      <c r="E57" s="74"/>
    </row>
    <row r="58" spans="1:6">
      <c r="A58" s="95" t="s">
        <v>39</v>
      </c>
      <c r="B58" s="96" t="s">
        <v>62</v>
      </c>
      <c r="C58" s="106">
        <v>0.01</v>
      </c>
      <c r="D58" s="98">
        <f t="shared" si="0"/>
        <v>17.850000000000001</v>
      </c>
      <c r="E58" s="74"/>
    </row>
    <row r="59" spans="1:6">
      <c r="A59" s="95" t="s">
        <v>41</v>
      </c>
      <c r="B59" s="96" t="s">
        <v>63</v>
      </c>
      <c r="C59" s="106">
        <v>6.0000000000000001E-3</v>
      </c>
      <c r="D59" s="98">
        <f t="shared" si="0"/>
        <v>10.71</v>
      </c>
      <c r="E59" s="74"/>
    </row>
    <row r="60" spans="1:6">
      <c r="A60" s="95" t="s">
        <v>64</v>
      </c>
      <c r="B60" s="96" t="s">
        <v>65</v>
      </c>
      <c r="C60" s="106">
        <v>2E-3</v>
      </c>
      <c r="D60" s="98">
        <f t="shared" si="0"/>
        <v>3.57</v>
      </c>
      <c r="E60" s="74"/>
    </row>
    <row r="61" spans="1:6">
      <c r="A61" s="95" t="s">
        <v>66</v>
      </c>
      <c r="B61" s="96" t="s">
        <v>67</v>
      </c>
      <c r="C61" s="106">
        <v>0.08</v>
      </c>
      <c r="D61" s="98">
        <f t="shared" si="0"/>
        <v>142.80000000000001</v>
      </c>
      <c r="E61" s="74"/>
    </row>
    <row r="62" spans="1:6">
      <c r="A62" s="141" t="s">
        <v>68</v>
      </c>
      <c r="B62" s="142"/>
      <c r="C62" s="106">
        <f>SUM(C54:C61)</f>
        <v>0.36799999999999999</v>
      </c>
      <c r="D62" s="98">
        <f t="shared" si="0"/>
        <v>656.91</v>
      </c>
      <c r="E62" s="74"/>
    </row>
    <row r="63" spans="1:6">
      <c r="A63" s="74"/>
      <c r="B63" s="74"/>
      <c r="C63" s="74"/>
      <c r="D63" s="107"/>
      <c r="E63" s="74"/>
    </row>
    <row r="64" spans="1:6">
      <c r="A64" s="74"/>
      <c r="B64" s="74"/>
      <c r="C64" s="74"/>
      <c r="D64" s="74"/>
      <c r="E64" s="74"/>
    </row>
    <row r="65" spans="1:5">
      <c r="A65" s="143" t="s">
        <v>69</v>
      </c>
      <c r="B65" s="144"/>
      <c r="C65" s="145"/>
      <c r="D65" s="74"/>
      <c r="E65" s="74"/>
    </row>
    <row r="66" spans="1:5">
      <c r="A66" s="74"/>
      <c r="B66" s="74"/>
      <c r="C66" s="74"/>
      <c r="D66" s="74"/>
      <c r="E66" s="74"/>
    </row>
    <row r="67" spans="1:5">
      <c r="A67" s="93" t="s">
        <v>70</v>
      </c>
      <c r="B67" s="94" t="s">
        <v>71</v>
      </c>
      <c r="C67" s="94" t="s">
        <v>34</v>
      </c>
      <c r="D67" s="74"/>
      <c r="E67" s="74"/>
    </row>
    <row r="68" spans="1:5">
      <c r="A68" s="95" t="s">
        <v>8</v>
      </c>
      <c r="B68" s="96" t="s">
        <v>72</v>
      </c>
      <c r="C68" s="98">
        <f>TRUNC(((4.5*2*250)-((C36*6%)*12))/12,2)</f>
        <v>98.56</v>
      </c>
      <c r="D68" s="74"/>
      <c r="E68" s="74"/>
    </row>
    <row r="69" spans="1:5">
      <c r="A69" s="95" t="s">
        <v>10</v>
      </c>
      <c r="B69" s="96" t="s">
        <v>73</v>
      </c>
      <c r="C69" s="98">
        <f>((25*250)-(25*250*10%))/12</f>
        <v>468.75</v>
      </c>
      <c r="D69" s="74"/>
      <c r="E69" s="74"/>
    </row>
    <row r="70" spans="1:5">
      <c r="A70" s="95" t="s">
        <v>13</v>
      </c>
      <c r="B70" s="96" t="s">
        <v>74</v>
      </c>
      <c r="C70" s="108">
        <f>200-1</f>
        <v>199</v>
      </c>
      <c r="D70" s="74"/>
      <c r="E70" s="74"/>
    </row>
    <row r="71" spans="1:5">
      <c r="A71" s="95" t="s">
        <v>16</v>
      </c>
      <c r="B71" s="96" t="s">
        <v>75</v>
      </c>
      <c r="C71" s="108"/>
      <c r="D71" s="74"/>
      <c r="E71" s="74"/>
    </row>
    <row r="72" spans="1:5">
      <c r="A72" s="141" t="s">
        <v>43</v>
      </c>
      <c r="B72" s="142"/>
      <c r="C72" s="98">
        <f>SUM(C68:C71)</f>
        <v>766.31</v>
      </c>
      <c r="D72" s="74"/>
      <c r="E72" s="74"/>
    </row>
    <row r="73" spans="1:5">
      <c r="A73" s="74"/>
      <c r="B73" s="74"/>
      <c r="C73" s="74"/>
      <c r="D73" s="74"/>
      <c r="E73" s="74"/>
    </row>
    <row r="74" spans="1:5">
      <c r="A74" s="74"/>
      <c r="B74" s="74"/>
      <c r="C74" s="74"/>
      <c r="D74" s="74"/>
      <c r="E74" s="74"/>
    </row>
    <row r="75" spans="1:5">
      <c r="A75" s="149" t="s">
        <v>76</v>
      </c>
      <c r="B75" s="150"/>
      <c r="C75" s="151"/>
      <c r="D75" s="74"/>
      <c r="E75" s="74"/>
    </row>
    <row r="76" spans="1:5">
      <c r="A76" s="74"/>
      <c r="B76" s="74"/>
      <c r="C76" s="74"/>
      <c r="D76" s="74"/>
      <c r="E76" s="74"/>
    </row>
    <row r="77" spans="1:5">
      <c r="A77" s="93">
        <v>2</v>
      </c>
      <c r="B77" s="94" t="s">
        <v>77</v>
      </c>
      <c r="C77" s="94" t="s">
        <v>34</v>
      </c>
      <c r="D77" s="74"/>
      <c r="E77" s="74"/>
    </row>
    <row r="78" spans="1:5">
      <c r="A78" s="95" t="s">
        <v>46</v>
      </c>
      <c r="B78" s="96" t="s">
        <v>47</v>
      </c>
      <c r="C78" s="98">
        <f>C46</f>
        <v>302.82</v>
      </c>
      <c r="D78" s="74"/>
      <c r="E78" s="74"/>
    </row>
    <row r="79" spans="1:5">
      <c r="A79" s="95" t="s">
        <v>55</v>
      </c>
      <c r="B79" s="96" t="s">
        <v>56</v>
      </c>
      <c r="C79" s="98">
        <f>D62</f>
        <v>656.91</v>
      </c>
      <c r="D79" s="74"/>
      <c r="E79" s="74"/>
    </row>
    <row r="80" spans="1:5">
      <c r="A80" s="95" t="s">
        <v>70</v>
      </c>
      <c r="B80" s="96" t="s">
        <v>71</v>
      </c>
      <c r="C80" s="98">
        <f>C72</f>
        <v>766.31</v>
      </c>
      <c r="D80" s="74"/>
      <c r="E80" s="74"/>
    </row>
    <row r="81" spans="1:5">
      <c r="A81" s="141" t="s">
        <v>43</v>
      </c>
      <c r="B81" s="142"/>
      <c r="C81" s="98">
        <f>SUM(C78:C80)</f>
        <v>1726.04</v>
      </c>
      <c r="D81" s="74"/>
      <c r="E81" s="74"/>
    </row>
    <row r="82" spans="1:5">
      <c r="A82" s="84"/>
      <c r="B82" s="74"/>
      <c r="C82" s="74"/>
      <c r="D82" s="74"/>
      <c r="E82" s="74"/>
    </row>
    <row r="83" spans="1:5">
      <c r="A83" s="74"/>
      <c r="B83" s="74"/>
      <c r="C83" s="74"/>
      <c r="D83" s="74"/>
      <c r="E83" s="74"/>
    </row>
    <row r="84" spans="1:5">
      <c r="A84" s="140" t="s">
        <v>78</v>
      </c>
      <c r="B84" s="140"/>
      <c r="C84" s="140"/>
      <c r="D84" s="74"/>
      <c r="E84" s="74"/>
    </row>
    <row r="85" spans="1:5">
      <c r="A85" s="74"/>
      <c r="B85" s="74"/>
      <c r="C85" s="107"/>
      <c r="D85" s="74"/>
      <c r="E85" s="74"/>
    </row>
    <row r="86" spans="1:5">
      <c r="A86" s="93">
        <v>3</v>
      </c>
      <c r="B86" s="94" t="s">
        <v>79</v>
      </c>
      <c r="C86" s="94" t="s">
        <v>34</v>
      </c>
      <c r="D86" s="74"/>
      <c r="E86" s="74"/>
    </row>
    <row r="87" spans="1:5">
      <c r="A87" s="95" t="s">
        <v>8</v>
      </c>
      <c r="B87" s="109" t="s">
        <v>80</v>
      </c>
      <c r="C87" s="98">
        <f>TRUNC(($C$36+$C$46+$D$62+$C$72)*(0.4167%),2)</f>
        <v>13.36</v>
      </c>
      <c r="D87" s="74"/>
      <c r="E87" s="74"/>
    </row>
    <row r="88" spans="1:5">
      <c r="A88" s="95" t="s">
        <v>10</v>
      </c>
      <c r="B88" s="109" t="s">
        <v>81</v>
      </c>
      <c r="C88" s="98">
        <f>TRUNC(C87*8%,2)</f>
        <v>1.06</v>
      </c>
      <c r="D88" s="107"/>
      <c r="E88" s="74"/>
    </row>
    <row r="89" spans="1:5">
      <c r="A89" s="95" t="s">
        <v>13</v>
      </c>
      <c r="B89" s="109" t="s">
        <v>82</v>
      </c>
      <c r="C89" s="98">
        <f>TRUNC(($C$36+$C$46+$D$62+$C$72)*(0.16%),2)</f>
        <v>5.13</v>
      </c>
      <c r="D89" s="107"/>
      <c r="E89" s="74"/>
    </row>
    <row r="90" spans="1:5">
      <c r="A90" s="95" t="s">
        <v>16</v>
      </c>
      <c r="B90" s="109" t="s">
        <v>83</v>
      </c>
      <c r="C90" s="98">
        <f>TRUNC(($C$36+$C$81)*(1.944%),2)</f>
        <v>62.36</v>
      </c>
      <c r="D90" s="74"/>
      <c r="E90" s="74"/>
    </row>
    <row r="91" spans="1:5">
      <c r="A91" s="95" t="s">
        <v>39</v>
      </c>
      <c r="B91" s="109" t="s">
        <v>84</v>
      </c>
      <c r="C91" s="98">
        <f>TRUNC($C$62*$C$90,2)</f>
        <v>22.94</v>
      </c>
      <c r="D91" s="74"/>
      <c r="E91" s="74"/>
    </row>
    <row r="92" spans="1:5">
      <c r="A92" s="95" t="s">
        <v>41</v>
      </c>
      <c r="B92" s="109" t="s">
        <v>85</v>
      </c>
      <c r="C92" s="98">
        <f>TRUNC(($C$36+$C$81)*(3.2%),2)</f>
        <v>102.66</v>
      </c>
      <c r="D92" s="107"/>
      <c r="E92" s="74"/>
    </row>
    <row r="93" spans="1:5">
      <c r="A93" s="141" t="s">
        <v>43</v>
      </c>
      <c r="B93" s="142"/>
      <c r="C93" s="98">
        <f>SUM(C87:C92)</f>
        <v>207.51</v>
      </c>
      <c r="D93" s="74"/>
      <c r="E93" s="74"/>
    </row>
    <row r="94" spans="1:5">
      <c r="A94" s="74"/>
      <c r="B94" s="74"/>
      <c r="C94" s="74"/>
      <c r="D94" s="74"/>
      <c r="E94" s="74"/>
    </row>
    <row r="95" spans="1:5">
      <c r="A95" s="156" t="s">
        <v>86</v>
      </c>
      <c r="B95" s="156"/>
      <c r="C95" s="99" t="s">
        <v>51</v>
      </c>
      <c r="D95" s="110">
        <f>C36</f>
        <v>1482.27</v>
      </c>
      <c r="E95" s="74"/>
    </row>
    <row r="96" spans="1:5">
      <c r="A96" s="156"/>
      <c r="B96" s="156"/>
      <c r="C96" s="99" t="s">
        <v>87</v>
      </c>
      <c r="D96" s="110">
        <f>C81</f>
        <v>1726.04</v>
      </c>
      <c r="E96" s="74"/>
    </row>
    <row r="97" spans="1:5">
      <c r="A97" s="156"/>
      <c r="B97" s="156"/>
      <c r="C97" s="99" t="s">
        <v>88</v>
      </c>
      <c r="D97" s="110">
        <f>C93</f>
        <v>207.51</v>
      </c>
      <c r="E97" s="74"/>
    </row>
    <row r="98" spans="1:5">
      <c r="A98" s="156"/>
      <c r="B98" s="156"/>
      <c r="C98" s="99" t="s">
        <v>53</v>
      </c>
      <c r="D98" s="110">
        <f>SUM(D95:D97)</f>
        <v>3415.82</v>
      </c>
      <c r="E98" s="74"/>
    </row>
    <row r="99" spans="1:5">
      <c r="A99" s="140" t="s">
        <v>89</v>
      </c>
      <c r="B99" s="140"/>
      <c r="C99" s="140"/>
      <c r="D99" s="74"/>
      <c r="E99" s="74"/>
    </row>
    <row r="100" spans="1:5">
      <c r="A100" s="74"/>
      <c r="B100" s="74"/>
      <c r="C100" s="74"/>
      <c r="D100" s="74"/>
      <c r="E100" s="74"/>
    </row>
    <row r="101" spans="1:5">
      <c r="A101" s="74"/>
      <c r="B101" s="74"/>
      <c r="C101" s="74"/>
      <c r="D101" s="74"/>
      <c r="E101" s="74"/>
    </row>
    <row r="102" spans="1:5">
      <c r="A102" s="143" t="s">
        <v>90</v>
      </c>
      <c r="B102" s="144"/>
      <c r="C102" s="145"/>
      <c r="D102" s="74"/>
      <c r="E102" s="74"/>
    </row>
    <row r="103" spans="1:5">
      <c r="A103" s="84"/>
      <c r="B103" s="74"/>
      <c r="C103" s="74"/>
      <c r="D103" s="74"/>
      <c r="E103" s="74"/>
    </row>
    <row r="104" spans="1:5">
      <c r="A104" s="93" t="s">
        <v>91</v>
      </c>
      <c r="B104" s="94" t="s">
        <v>92</v>
      </c>
      <c r="C104" s="94" t="s">
        <v>34</v>
      </c>
      <c r="D104" s="74"/>
      <c r="E104" s="74"/>
    </row>
    <row r="105" spans="1:5">
      <c r="A105" s="95" t="s">
        <v>8</v>
      </c>
      <c r="B105" s="96" t="s">
        <v>93</v>
      </c>
      <c r="C105" s="98">
        <f>TRUNC((C36+C81+C93)*0.926%,2)</f>
        <v>31.63</v>
      </c>
      <c r="D105" s="74"/>
      <c r="E105" s="74"/>
    </row>
    <row r="106" spans="1:5">
      <c r="A106" s="95" t="s">
        <v>10</v>
      </c>
      <c r="B106" s="96" t="s">
        <v>94</v>
      </c>
      <c r="C106" s="98">
        <f>TRUNC((C36+C81+C93)*0.556%,2)</f>
        <v>18.989999999999998</v>
      </c>
      <c r="D106" s="74"/>
      <c r="E106" s="74"/>
    </row>
    <row r="107" spans="1:5">
      <c r="A107" s="95" t="s">
        <v>13</v>
      </c>
      <c r="B107" s="96" t="s">
        <v>95</v>
      </c>
      <c r="C107" s="98">
        <f>TRUNC((C36+C81+C93)*0.028%,2)</f>
        <v>0.95</v>
      </c>
      <c r="D107" s="74"/>
      <c r="E107" s="74"/>
    </row>
    <row r="108" spans="1:5">
      <c r="A108" s="95" t="s">
        <v>16</v>
      </c>
      <c r="B108" s="96" t="s">
        <v>96</v>
      </c>
      <c r="C108" s="98">
        <f>TRUNC((C36+C81+C93)*0.333%,2)</f>
        <v>11.37</v>
      </c>
      <c r="D108" s="74"/>
      <c r="E108" s="74"/>
    </row>
    <row r="109" spans="1:5">
      <c r="A109" s="95" t="s">
        <v>39</v>
      </c>
      <c r="B109" s="96" t="s">
        <v>97</v>
      </c>
      <c r="C109" s="98">
        <f>TRUNC((C36+C81+C93)*0.056%,2)</f>
        <v>1.91</v>
      </c>
      <c r="D109" s="74"/>
      <c r="E109" s="74"/>
    </row>
    <row r="110" spans="1:5">
      <c r="A110" s="95" t="s">
        <v>41</v>
      </c>
      <c r="B110" s="96" t="s">
        <v>98</v>
      </c>
      <c r="C110" s="98"/>
      <c r="D110" s="74"/>
      <c r="E110" s="74"/>
    </row>
    <row r="111" spans="1:5">
      <c r="A111" s="141" t="s">
        <v>68</v>
      </c>
      <c r="B111" s="142"/>
      <c r="C111" s="98">
        <f>SUM(C105:C110)</f>
        <v>64.849999999999994</v>
      </c>
      <c r="D111" s="74"/>
      <c r="E111" s="74"/>
    </row>
    <row r="112" spans="1:5">
      <c r="A112" s="74"/>
      <c r="B112" s="74"/>
      <c r="C112" s="74"/>
      <c r="D112" s="74"/>
      <c r="E112" s="74"/>
    </row>
    <row r="113" spans="1:5">
      <c r="A113" s="74"/>
      <c r="B113" s="74"/>
      <c r="C113" s="74"/>
      <c r="D113" s="74"/>
      <c r="E113" s="74"/>
    </row>
    <row r="114" spans="1:5">
      <c r="A114" s="143" t="s">
        <v>99</v>
      </c>
      <c r="B114" s="144"/>
      <c r="C114" s="145"/>
      <c r="D114" s="74"/>
      <c r="E114" s="74"/>
    </row>
    <row r="115" spans="1:5">
      <c r="A115" s="84"/>
      <c r="B115" s="74"/>
      <c r="C115" s="74"/>
      <c r="D115" s="74"/>
      <c r="E115" s="74"/>
    </row>
    <row r="116" spans="1:5">
      <c r="A116" s="93" t="s">
        <v>100</v>
      </c>
      <c r="B116" s="94" t="s">
        <v>101</v>
      </c>
      <c r="C116" s="94" t="s">
        <v>34</v>
      </c>
      <c r="D116" s="74"/>
      <c r="E116" s="74"/>
    </row>
    <row r="117" spans="1:5">
      <c r="A117" s="95" t="s">
        <v>8</v>
      </c>
      <c r="B117" s="96" t="s">
        <v>102</v>
      </c>
      <c r="C117" s="111"/>
      <c r="D117" s="74"/>
      <c r="E117" s="74"/>
    </row>
    <row r="118" spans="1:5">
      <c r="A118" s="141" t="s">
        <v>43</v>
      </c>
      <c r="B118" s="142"/>
      <c r="C118" s="98">
        <v>0</v>
      </c>
      <c r="D118" s="74"/>
      <c r="E118" s="74"/>
    </row>
    <row r="119" spans="1:5">
      <c r="A119" s="74"/>
      <c r="B119" s="74"/>
      <c r="C119" s="74"/>
      <c r="D119" s="74"/>
      <c r="E119" s="74"/>
    </row>
    <row r="120" spans="1:5">
      <c r="A120" s="74"/>
      <c r="B120" s="74"/>
      <c r="C120" s="74"/>
      <c r="D120" s="74"/>
      <c r="E120" s="74"/>
    </row>
    <row r="121" spans="1:5">
      <c r="A121" s="149" t="s">
        <v>103</v>
      </c>
      <c r="B121" s="150"/>
      <c r="C121" s="151"/>
      <c r="D121" s="74"/>
      <c r="E121" s="74"/>
    </row>
    <row r="122" spans="1:5">
      <c r="A122" s="84"/>
      <c r="B122" s="74"/>
      <c r="C122" s="74"/>
      <c r="D122" s="74"/>
      <c r="E122" s="74"/>
    </row>
    <row r="123" spans="1:5">
      <c r="A123" s="93">
        <v>4</v>
      </c>
      <c r="B123" s="94" t="s">
        <v>104</v>
      </c>
      <c r="C123" s="94" t="s">
        <v>34</v>
      </c>
      <c r="D123" s="74"/>
      <c r="E123" s="74"/>
    </row>
    <row r="124" spans="1:5">
      <c r="A124" s="95" t="s">
        <v>91</v>
      </c>
      <c r="B124" s="96" t="s">
        <v>92</v>
      </c>
      <c r="C124" s="98">
        <f>C111</f>
        <v>64.849999999999994</v>
      </c>
      <c r="D124" s="74"/>
      <c r="E124" s="74"/>
    </row>
    <row r="125" spans="1:5">
      <c r="A125" s="95" t="s">
        <v>100</v>
      </c>
      <c r="B125" s="96" t="s">
        <v>101</v>
      </c>
      <c r="C125" s="98">
        <f>C118</f>
        <v>0</v>
      </c>
      <c r="D125" s="74"/>
      <c r="E125" s="74"/>
    </row>
    <row r="126" spans="1:5">
      <c r="A126" s="141" t="s">
        <v>43</v>
      </c>
      <c r="B126" s="142"/>
      <c r="C126" s="98">
        <f>SUM(C124:C125)</f>
        <v>64.849999999999994</v>
      </c>
      <c r="D126" s="74"/>
      <c r="E126" s="74"/>
    </row>
    <row r="127" spans="1:5">
      <c r="A127" s="74"/>
      <c r="B127" s="74"/>
      <c r="C127" s="74"/>
      <c r="D127" s="74"/>
      <c r="E127" s="74"/>
    </row>
    <row r="128" spans="1:5">
      <c r="A128" s="74"/>
      <c r="B128" s="74"/>
      <c r="C128" s="74"/>
      <c r="D128" s="74"/>
      <c r="E128" s="74"/>
    </row>
    <row r="129" spans="1:5">
      <c r="A129" s="140" t="s">
        <v>105</v>
      </c>
      <c r="B129" s="140"/>
      <c r="C129" s="140"/>
      <c r="D129" s="74"/>
      <c r="E129" s="74"/>
    </row>
    <row r="130" spans="1:5">
      <c r="A130" s="112"/>
      <c r="B130" s="112"/>
      <c r="C130" s="112"/>
      <c r="D130" s="74"/>
      <c r="E130" s="74"/>
    </row>
    <row r="131" spans="1:5">
      <c r="A131" s="152" t="s">
        <v>106</v>
      </c>
      <c r="B131" s="152"/>
      <c r="C131" s="152"/>
      <c r="D131" s="152"/>
      <c r="E131" s="153"/>
    </row>
    <row r="132" spans="1:5">
      <c r="A132" s="113" t="s">
        <v>107</v>
      </c>
      <c r="B132" s="113" t="s">
        <v>108</v>
      </c>
      <c r="C132" s="114" t="s">
        <v>109</v>
      </c>
      <c r="D132" s="114" t="s">
        <v>110</v>
      </c>
      <c r="E132" s="115" t="s">
        <v>111</v>
      </c>
    </row>
    <row r="133" spans="1:5">
      <c r="A133" s="93">
        <v>1</v>
      </c>
      <c r="B133" s="80" t="s">
        <v>112</v>
      </c>
      <c r="C133" s="116">
        <v>4</v>
      </c>
      <c r="D133" s="117">
        <v>23.46</v>
      </c>
      <c r="E133" s="118">
        <f>D133*C133</f>
        <v>93.84</v>
      </c>
    </row>
    <row r="134" spans="1:5">
      <c r="A134" s="95">
        <v>2</v>
      </c>
      <c r="B134" s="80" t="s">
        <v>113</v>
      </c>
      <c r="C134" s="116">
        <v>2</v>
      </c>
      <c r="D134" s="117">
        <v>37.72</v>
      </c>
      <c r="E134" s="118">
        <f>D134*C134</f>
        <v>75.44</v>
      </c>
    </row>
    <row r="135" spans="1:5">
      <c r="A135" s="95">
        <v>3</v>
      </c>
      <c r="B135" s="80" t="s">
        <v>114</v>
      </c>
      <c r="C135" s="116">
        <v>4</v>
      </c>
      <c r="D135" s="117">
        <v>7</v>
      </c>
      <c r="E135" s="118">
        <f t="shared" ref="E135:E141" si="1">C135*D135</f>
        <v>28</v>
      </c>
    </row>
    <row r="136" spans="1:5">
      <c r="A136" s="95">
        <v>4</v>
      </c>
      <c r="B136" s="80" t="s">
        <v>115</v>
      </c>
      <c r="C136" s="116">
        <v>1</v>
      </c>
      <c r="D136" s="117">
        <v>47.6</v>
      </c>
      <c r="E136" s="118">
        <f t="shared" si="1"/>
        <v>47.6</v>
      </c>
    </row>
    <row r="137" spans="1:5">
      <c r="A137" s="95">
        <v>5</v>
      </c>
      <c r="B137" s="80" t="s">
        <v>116</v>
      </c>
      <c r="C137" s="116">
        <v>1</v>
      </c>
      <c r="D137" s="117">
        <v>58.99</v>
      </c>
      <c r="E137" s="118">
        <f t="shared" si="1"/>
        <v>58.99</v>
      </c>
    </row>
    <row r="138" spans="1:5">
      <c r="A138" s="95">
        <v>6</v>
      </c>
      <c r="B138" s="80" t="s">
        <v>152</v>
      </c>
      <c r="C138" s="116">
        <v>1</v>
      </c>
      <c r="D138" s="117">
        <v>4.0999999999999996</v>
      </c>
      <c r="E138" s="118">
        <f t="shared" si="1"/>
        <v>4.0999999999999996</v>
      </c>
    </row>
    <row r="139" spans="1:5">
      <c r="A139" s="95">
        <v>7</v>
      </c>
      <c r="B139" s="80" t="s">
        <v>153</v>
      </c>
      <c r="C139" s="116">
        <v>2</v>
      </c>
      <c r="D139" s="117">
        <v>5.64</v>
      </c>
      <c r="E139" s="118">
        <f t="shared" si="1"/>
        <v>11.28</v>
      </c>
    </row>
    <row r="140" spans="1:5">
      <c r="A140" s="95">
        <v>8</v>
      </c>
      <c r="B140" s="80" t="s">
        <v>154</v>
      </c>
      <c r="C140" s="116">
        <v>1</v>
      </c>
      <c r="D140" s="117">
        <v>40.33</v>
      </c>
      <c r="E140" s="118">
        <f t="shared" si="1"/>
        <v>40.33</v>
      </c>
    </row>
    <row r="141" spans="1:5">
      <c r="A141" s="95">
        <v>9</v>
      </c>
      <c r="B141" s="80" t="s">
        <v>155</v>
      </c>
      <c r="C141" s="116">
        <v>1</v>
      </c>
      <c r="D141" s="117">
        <v>40.880000000000003</v>
      </c>
      <c r="E141" s="118">
        <f t="shared" si="1"/>
        <v>40.880000000000003</v>
      </c>
    </row>
    <row r="142" spans="1:5">
      <c r="A142" s="154" t="s">
        <v>117</v>
      </c>
      <c r="B142" s="155"/>
      <c r="C142" s="119"/>
      <c r="D142" s="119"/>
      <c r="E142" s="120">
        <f>SUM(E133:E141)</f>
        <v>400.46</v>
      </c>
    </row>
    <row r="143" spans="1:5">
      <c r="A143" s="154" t="s">
        <v>118</v>
      </c>
      <c r="B143" s="155"/>
      <c r="C143" s="119"/>
      <c r="D143" s="119"/>
      <c r="E143" s="120">
        <f>E142/12</f>
        <v>33.371666666666698</v>
      </c>
    </row>
    <row r="144" spans="1:5">
      <c r="A144" s="112"/>
      <c r="B144" s="112"/>
      <c r="C144" s="112"/>
      <c r="D144" s="74"/>
      <c r="E144" s="74"/>
    </row>
    <row r="145" spans="1:5">
      <c r="A145" s="93">
        <v>5</v>
      </c>
      <c r="B145" s="121" t="s">
        <v>119</v>
      </c>
      <c r="C145" s="94" t="s">
        <v>34</v>
      </c>
      <c r="D145" s="74"/>
      <c r="E145" s="74"/>
    </row>
    <row r="146" spans="1:5">
      <c r="A146" s="95" t="s">
        <v>8</v>
      </c>
      <c r="B146" s="96" t="s">
        <v>120</v>
      </c>
      <c r="C146" s="98">
        <f>E143</f>
        <v>33.371666666666698</v>
      </c>
      <c r="D146" s="74"/>
      <c r="E146" s="74"/>
    </row>
    <row r="147" spans="1:5">
      <c r="A147" s="95" t="s">
        <v>10</v>
      </c>
      <c r="B147" s="96" t="s">
        <v>121</v>
      </c>
      <c r="C147" s="98">
        <f>Materiais!G7</f>
        <v>1.91</v>
      </c>
      <c r="D147" s="74"/>
      <c r="E147" s="74"/>
    </row>
    <row r="148" spans="1:5">
      <c r="A148" s="95" t="s">
        <v>13</v>
      </c>
      <c r="B148" s="96" t="s">
        <v>122</v>
      </c>
      <c r="C148" s="98">
        <f>'Equipamentos Uso Coletivo'!G7</f>
        <v>2.82</v>
      </c>
      <c r="D148" s="74"/>
      <c r="E148" s="74"/>
    </row>
    <row r="149" spans="1:5">
      <c r="A149" s="95" t="s">
        <v>16</v>
      </c>
      <c r="B149" s="96" t="s">
        <v>123</v>
      </c>
      <c r="C149" s="98"/>
      <c r="D149" s="74"/>
      <c r="E149" s="74"/>
    </row>
    <row r="150" spans="1:5">
      <c r="A150" s="141" t="s">
        <v>68</v>
      </c>
      <c r="B150" s="142"/>
      <c r="C150" s="98">
        <f>SUM(C146:C149)</f>
        <v>38.101666666666695</v>
      </c>
      <c r="D150" s="74"/>
      <c r="E150" s="74"/>
    </row>
    <row r="151" spans="1:5">
      <c r="A151" s="74"/>
      <c r="B151" s="74"/>
      <c r="C151" s="74"/>
      <c r="D151" s="74"/>
      <c r="E151" s="74"/>
    </row>
    <row r="152" spans="1:5">
      <c r="A152" s="74"/>
      <c r="B152" s="74"/>
      <c r="C152" s="74"/>
      <c r="D152" s="74"/>
      <c r="E152" s="74"/>
    </row>
    <row r="153" spans="1:5">
      <c r="A153" s="156" t="s">
        <v>124</v>
      </c>
      <c r="B153" s="156"/>
      <c r="C153" s="156"/>
      <c r="D153" s="99" t="s">
        <v>51</v>
      </c>
      <c r="E153" s="100">
        <f>C36</f>
        <v>1482.27</v>
      </c>
    </row>
    <row r="154" spans="1:5">
      <c r="A154" s="156"/>
      <c r="B154" s="156"/>
      <c r="C154" s="156"/>
      <c r="D154" s="99" t="s">
        <v>87</v>
      </c>
      <c r="E154" s="100">
        <f>C81</f>
        <v>1726.04</v>
      </c>
    </row>
    <row r="155" spans="1:5">
      <c r="A155" s="156"/>
      <c r="B155" s="156"/>
      <c r="C155" s="156"/>
      <c r="D155" s="99" t="s">
        <v>88</v>
      </c>
      <c r="E155" s="100">
        <f>C93</f>
        <v>207.51</v>
      </c>
    </row>
    <row r="156" spans="1:5">
      <c r="A156" s="156"/>
      <c r="B156" s="156"/>
      <c r="C156" s="156"/>
      <c r="D156" s="99" t="s">
        <v>125</v>
      </c>
      <c r="E156" s="100">
        <f>C126</f>
        <v>64.849999999999994</v>
      </c>
    </row>
    <row r="157" spans="1:5">
      <c r="A157" s="156"/>
      <c r="B157" s="156"/>
      <c r="C157" s="156"/>
      <c r="D157" s="99" t="s">
        <v>126</v>
      </c>
      <c r="E157" s="100">
        <f>C150</f>
        <v>38.101666666666695</v>
      </c>
    </row>
    <row r="158" spans="1:5">
      <c r="A158" s="156"/>
      <c r="B158" s="156"/>
      <c r="C158" s="156"/>
      <c r="D158" s="99" t="s">
        <v>53</v>
      </c>
      <c r="E158" s="100">
        <f>SUM(E153:E157)</f>
        <v>3518.7716666666665</v>
      </c>
    </row>
    <row r="159" spans="1:5">
      <c r="A159" s="140" t="s">
        <v>127</v>
      </c>
      <c r="B159" s="140"/>
      <c r="C159" s="140"/>
      <c r="D159" s="74"/>
      <c r="E159" s="74"/>
    </row>
    <row r="160" spans="1:5">
      <c r="A160" s="74"/>
      <c r="B160" s="74"/>
      <c r="C160" s="74"/>
      <c r="D160" s="74"/>
      <c r="E160" s="74"/>
    </row>
    <row r="161" spans="1:5">
      <c r="A161" s="93">
        <v>6</v>
      </c>
      <c r="B161" s="121" t="s">
        <v>128</v>
      </c>
      <c r="C161" s="94" t="s">
        <v>57</v>
      </c>
      <c r="D161" s="94" t="s">
        <v>34</v>
      </c>
      <c r="E161" s="74"/>
    </row>
    <row r="162" spans="1:5">
      <c r="A162" s="95" t="s">
        <v>8</v>
      </c>
      <c r="B162" s="96" t="s">
        <v>123</v>
      </c>
      <c r="C162" s="122">
        <v>0.05</v>
      </c>
      <c r="D162" s="108">
        <f>C179*C162</f>
        <v>175.9385</v>
      </c>
      <c r="E162" s="74"/>
    </row>
    <row r="163" spans="1:5">
      <c r="A163" s="95" t="s">
        <v>10</v>
      </c>
      <c r="B163" s="96" t="s">
        <v>129</v>
      </c>
      <c r="C163" s="122">
        <v>0.1</v>
      </c>
      <c r="D163" s="108">
        <f>(C179+D162)*C163</f>
        <v>369.47085000000004</v>
      </c>
      <c r="E163" s="74"/>
    </row>
    <row r="164" spans="1:5">
      <c r="A164" s="95" t="s">
        <v>13</v>
      </c>
      <c r="B164" s="96" t="s">
        <v>130</v>
      </c>
      <c r="C164" s="122">
        <v>8.6499999999999994E-2</v>
      </c>
      <c r="D164" s="123"/>
      <c r="E164" s="107">
        <f>(C179+D162+D163)/(1-C164)</f>
        <v>4449.0195402298859</v>
      </c>
    </row>
    <row r="165" spans="1:5">
      <c r="A165" s="95"/>
      <c r="B165" s="96" t="s">
        <v>131</v>
      </c>
      <c r="C165" s="122">
        <v>6.4999999999999997E-3</v>
      </c>
      <c r="D165" s="108">
        <f t="shared" ref="D165:D167" si="2">$E$164*C165</f>
        <v>28.918627011494259</v>
      </c>
      <c r="E165" s="74"/>
    </row>
    <row r="166" spans="1:5">
      <c r="A166" s="95"/>
      <c r="B166" s="96" t="s">
        <v>132</v>
      </c>
      <c r="C166" s="122">
        <v>0.03</v>
      </c>
      <c r="D166" s="108">
        <f t="shared" si="2"/>
        <v>133.47058620689657</v>
      </c>
      <c r="E166" s="74"/>
    </row>
    <row r="167" spans="1:5">
      <c r="A167" s="95"/>
      <c r="B167" s="96" t="s">
        <v>133</v>
      </c>
      <c r="C167" s="122">
        <v>0.05</v>
      </c>
      <c r="D167" s="108">
        <f t="shared" si="2"/>
        <v>222.4509770114943</v>
      </c>
      <c r="E167" s="74"/>
    </row>
    <row r="168" spans="1:5">
      <c r="A168" s="141" t="s">
        <v>68</v>
      </c>
      <c r="B168" s="142"/>
      <c r="C168" s="106"/>
      <c r="D168" s="108">
        <f>TRUNC(SUM(D162:D167),2)</f>
        <v>930.24</v>
      </c>
      <c r="E168" s="107"/>
    </row>
    <row r="169" spans="1:5">
      <c r="A169" s="74"/>
      <c r="B169" s="74"/>
      <c r="C169" s="74"/>
      <c r="D169" s="107"/>
      <c r="E169" s="74"/>
    </row>
    <row r="170" spans="1:5">
      <c r="A170" s="74"/>
      <c r="B170" s="74"/>
      <c r="C170" s="74"/>
      <c r="D170" s="74"/>
      <c r="E170" s="74"/>
    </row>
    <row r="171" spans="1:5">
      <c r="A171" s="149" t="s">
        <v>134</v>
      </c>
      <c r="B171" s="150"/>
      <c r="C171" s="151"/>
      <c r="D171" s="74"/>
      <c r="E171" s="74"/>
    </row>
    <row r="172" spans="1:5">
      <c r="A172" s="74"/>
      <c r="B172" s="74"/>
      <c r="C172" s="74"/>
      <c r="D172" s="74"/>
      <c r="E172" s="74"/>
    </row>
    <row r="173" spans="1:5">
      <c r="A173" s="93"/>
      <c r="B173" s="94" t="s">
        <v>135</v>
      </c>
      <c r="C173" s="94" t="s">
        <v>34</v>
      </c>
      <c r="D173" s="74"/>
      <c r="E173" s="74"/>
    </row>
    <row r="174" spans="1:5">
      <c r="A174" s="95" t="s">
        <v>8</v>
      </c>
      <c r="B174" s="96" t="s">
        <v>32</v>
      </c>
      <c r="C174" s="124">
        <f>C36</f>
        <v>1482.27</v>
      </c>
      <c r="D174" s="74"/>
      <c r="E174" s="74"/>
    </row>
    <row r="175" spans="1:5">
      <c r="A175" s="95" t="s">
        <v>10</v>
      </c>
      <c r="B175" s="96" t="s">
        <v>44</v>
      </c>
      <c r="C175" s="124">
        <f>C81</f>
        <v>1726.04</v>
      </c>
      <c r="D175" s="74"/>
      <c r="E175" s="74"/>
    </row>
    <row r="176" spans="1:5">
      <c r="A176" s="95" t="s">
        <v>13</v>
      </c>
      <c r="B176" s="96" t="s">
        <v>78</v>
      </c>
      <c r="C176" s="124">
        <f>C93</f>
        <v>207.51</v>
      </c>
      <c r="D176" s="74"/>
      <c r="E176" s="74"/>
    </row>
    <row r="177" spans="1:6">
      <c r="A177" s="95" t="s">
        <v>16</v>
      </c>
      <c r="B177" s="96" t="s">
        <v>89</v>
      </c>
      <c r="C177" s="124">
        <f>C126</f>
        <v>64.849999999999994</v>
      </c>
      <c r="D177" s="74"/>
      <c r="E177" s="74"/>
    </row>
    <row r="178" spans="1:6">
      <c r="A178" s="95" t="s">
        <v>39</v>
      </c>
      <c r="B178" s="96" t="s">
        <v>105</v>
      </c>
      <c r="C178" s="124">
        <f>C150</f>
        <v>38.101666666666695</v>
      </c>
      <c r="D178" s="74"/>
      <c r="E178" s="74"/>
    </row>
    <row r="179" spans="1:6">
      <c r="A179" s="141" t="s">
        <v>136</v>
      </c>
      <c r="B179" s="142"/>
      <c r="C179" s="124">
        <f>TRUNC(SUM(C174:C178),2)</f>
        <v>3518.77</v>
      </c>
      <c r="D179" s="74"/>
      <c r="E179" s="74"/>
    </row>
    <row r="180" spans="1:6">
      <c r="A180" s="95" t="s">
        <v>41</v>
      </c>
      <c r="B180" s="96" t="s">
        <v>137</v>
      </c>
      <c r="C180" s="124">
        <f>D168</f>
        <v>930.24</v>
      </c>
      <c r="D180" s="74"/>
      <c r="E180" s="74"/>
    </row>
    <row r="181" spans="1:6">
      <c r="A181" s="141" t="s">
        <v>138</v>
      </c>
      <c r="B181" s="142"/>
      <c r="C181" s="124">
        <f>C179+C180</f>
        <v>4449.01</v>
      </c>
      <c r="D181" s="74"/>
      <c r="E181" s="74"/>
    </row>
    <row r="182" spans="1:6">
      <c r="A182" s="74"/>
      <c r="B182" s="74"/>
      <c r="C182" s="74"/>
      <c r="D182" s="74"/>
      <c r="E182" s="74"/>
    </row>
    <row r="184" spans="1:6">
      <c r="A184"/>
      <c r="B184"/>
      <c r="C184"/>
      <c r="D184"/>
      <c r="E184"/>
      <c r="F184"/>
    </row>
    <row r="185" spans="1:6">
      <c r="A185"/>
      <c r="B185"/>
      <c r="C185"/>
      <c r="D185"/>
      <c r="E185"/>
      <c r="F185"/>
    </row>
    <row r="186" spans="1:6">
      <c r="A186" s="73"/>
      <c r="B186" s="73"/>
      <c r="C186" s="74"/>
      <c r="E186" s="11"/>
      <c r="F186"/>
    </row>
    <row r="187" spans="1:6">
      <c r="A187" s="75"/>
      <c r="B187" s="75"/>
      <c r="C187" s="11"/>
      <c r="E187" s="11"/>
      <c r="F187"/>
    </row>
    <row r="188" spans="1:6">
      <c r="C188" s="11"/>
      <c r="E188" s="11"/>
      <c r="F188"/>
    </row>
    <row r="189" spans="1:6">
      <c r="A189" s="10"/>
      <c r="B189" s="75"/>
      <c r="C189" s="11"/>
      <c r="E189" s="11"/>
      <c r="F189"/>
    </row>
    <row r="190" spans="1:6">
      <c r="A190" s="77"/>
      <c r="B190" s="77"/>
      <c r="C190" s="77"/>
      <c r="E190" s="11"/>
      <c r="F190"/>
    </row>
    <row r="192" spans="1:6">
      <c r="B192" s="73"/>
    </row>
    <row r="193" spans="2:2">
      <c r="B193" s="75"/>
    </row>
    <row r="195" spans="2:2">
      <c r="B195" s="75"/>
    </row>
    <row r="196" spans="2:2">
      <c r="B196" s="77"/>
    </row>
  </sheetData>
  <mergeCells count="50">
    <mergeCell ref="A179:B179"/>
    <mergeCell ref="A181:B181"/>
    <mergeCell ref="A48:B50"/>
    <mergeCell ref="A95:B98"/>
    <mergeCell ref="A153:C158"/>
    <mergeCell ref="A143:B143"/>
    <mergeCell ref="A150:B150"/>
    <mergeCell ref="A159:C159"/>
    <mergeCell ref="A168:B168"/>
    <mergeCell ref="A171:C171"/>
    <mergeCell ref="A121:C121"/>
    <mergeCell ref="A126:B126"/>
    <mergeCell ref="A129:C129"/>
    <mergeCell ref="A131:E131"/>
    <mergeCell ref="A142:B142"/>
    <mergeCell ref="A99:C99"/>
    <mergeCell ref="A102:C102"/>
    <mergeCell ref="A111:B111"/>
    <mergeCell ref="A114:C114"/>
    <mergeCell ref="A118:B118"/>
    <mergeCell ref="A72:B72"/>
    <mergeCell ref="A75:C75"/>
    <mergeCell ref="A81:B81"/>
    <mergeCell ref="A84:C84"/>
    <mergeCell ref="A93:B93"/>
    <mergeCell ref="A41:C41"/>
    <mergeCell ref="A46:B46"/>
    <mergeCell ref="A51:D51"/>
    <mergeCell ref="A62:B62"/>
    <mergeCell ref="A65:C65"/>
    <mergeCell ref="C22:E22"/>
    <mergeCell ref="C23:E23"/>
    <mergeCell ref="A27:C27"/>
    <mergeCell ref="A36:B36"/>
    <mergeCell ref="A39:C39"/>
    <mergeCell ref="C16:D16"/>
    <mergeCell ref="A18:E18"/>
    <mergeCell ref="A19:E19"/>
    <mergeCell ref="C20:E20"/>
    <mergeCell ref="C21:E21"/>
    <mergeCell ref="C10:E10"/>
    <mergeCell ref="C11:E11"/>
    <mergeCell ref="C12:E12"/>
    <mergeCell ref="A14:C14"/>
    <mergeCell ref="C15:E15"/>
    <mergeCell ref="A1:D1"/>
    <mergeCell ref="A2:D2"/>
    <mergeCell ref="A3:D3"/>
    <mergeCell ref="A8:E8"/>
    <mergeCell ref="C9:E9"/>
  </mergeCells>
  <pageMargins left="0.511811024" right="0.511811024" top="0.78740157499999996" bottom="0.78740157499999996" header="0.31496062000000002" footer="0.31496062000000002"/>
  <pageSetup paperSize="9" scale="71" orientation="portrait"/>
  <rowBreaks count="2" manualBreakCount="2">
    <brk id="63" max="5" man="1"/>
    <brk id="127" max="5" man="1"/>
  </row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2"/>
  <sheetViews>
    <sheetView showGridLines="0" topLeftCell="A151" zoomScale="90" zoomScaleNormal="90" workbookViewId="0">
      <selection sqref="A1:G181"/>
    </sheetView>
  </sheetViews>
  <sheetFormatPr defaultColWidth="9.140625" defaultRowHeight="15.75"/>
  <cols>
    <col min="1" max="1" width="14.140625" style="76" customWidth="1"/>
    <col min="2" max="2" width="71" style="76" customWidth="1"/>
    <col min="3" max="3" width="12.42578125" style="76" customWidth="1"/>
    <col min="4" max="4" width="19.140625" style="76" customWidth="1"/>
    <col min="5" max="5" width="10.5703125" style="76" customWidth="1"/>
    <col min="6" max="6" width="12" style="76" customWidth="1"/>
    <col min="7" max="7" width="15.140625" style="76" customWidth="1"/>
    <col min="8" max="16384" width="9.140625" style="76"/>
  </cols>
  <sheetData>
    <row r="1" spans="1:5">
      <c r="A1" s="129" t="s">
        <v>0</v>
      </c>
      <c r="B1" s="129"/>
      <c r="C1" s="129"/>
      <c r="D1" s="129"/>
      <c r="E1" s="74"/>
    </row>
    <row r="2" spans="1:5">
      <c r="A2" s="129" t="s">
        <v>1</v>
      </c>
      <c r="B2" s="129"/>
      <c r="C2" s="129"/>
      <c r="D2" s="129"/>
      <c r="E2" s="74"/>
    </row>
    <row r="3" spans="1:5">
      <c r="A3" s="130" t="s">
        <v>2</v>
      </c>
      <c r="B3" s="130"/>
      <c r="C3" s="130"/>
      <c r="D3" s="130"/>
      <c r="E3" s="74"/>
    </row>
    <row r="4" spans="1:5">
      <c r="A4" s="80" t="s">
        <v>3</v>
      </c>
      <c r="B4" s="81" t="s">
        <v>4</v>
      </c>
      <c r="C4" s="79"/>
      <c r="D4" s="79"/>
      <c r="E4" s="74"/>
    </row>
    <row r="5" spans="1:5">
      <c r="A5" s="80" t="s">
        <v>5</v>
      </c>
      <c r="B5" s="82"/>
      <c r="C5" s="79"/>
      <c r="D5" s="79"/>
      <c r="E5" s="74"/>
    </row>
    <row r="6" spans="1:5">
      <c r="A6" s="83" t="s">
        <v>6</v>
      </c>
      <c r="B6" s="83"/>
      <c r="C6" s="79"/>
      <c r="D6" s="79"/>
      <c r="E6" s="74"/>
    </row>
    <row r="7" spans="1:5">
      <c r="A7" s="84"/>
      <c r="B7" s="84"/>
      <c r="C7" s="79"/>
      <c r="D7" s="79"/>
      <c r="E7" s="74"/>
    </row>
    <row r="8" spans="1:5">
      <c r="A8" s="131" t="s">
        <v>7</v>
      </c>
      <c r="B8" s="131"/>
      <c r="C8" s="131"/>
      <c r="D8" s="131"/>
      <c r="E8" s="131"/>
    </row>
    <row r="9" spans="1:5">
      <c r="A9" s="85" t="s">
        <v>8</v>
      </c>
      <c r="B9" s="86" t="s">
        <v>9</v>
      </c>
      <c r="C9" s="132"/>
      <c r="D9" s="132"/>
      <c r="E9" s="132"/>
    </row>
    <row r="10" spans="1:5">
      <c r="A10" s="85" t="s">
        <v>10</v>
      </c>
      <c r="B10" s="86" t="s">
        <v>11</v>
      </c>
      <c r="C10" s="133" t="s">
        <v>12</v>
      </c>
      <c r="D10" s="133"/>
      <c r="E10" s="133"/>
    </row>
    <row r="11" spans="1:5">
      <c r="A11" s="85" t="s">
        <v>13</v>
      </c>
      <c r="B11" s="86" t="s">
        <v>14</v>
      </c>
      <c r="C11" s="133" t="s">
        <v>15</v>
      </c>
      <c r="D11" s="133"/>
      <c r="E11" s="133"/>
    </row>
    <row r="12" spans="1:5">
      <c r="A12" s="85" t="s">
        <v>16</v>
      </c>
      <c r="B12" s="86" t="s">
        <v>17</v>
      </c>
      <c r="C12" s="133">
        <v>12</v>
      </c>
      <c r="D12" s="133"/>
      <c r="E12" s="133"/>
    </row>
    <row r="13" spans="1:5">
      <c r="A13" s="87"/>
      <c r="B13" s="87"/>
      <c r="C13" s="87"/>
      <c r="D13" s="87"/>
      <c r="E13" s="87"/>
    </row>
    <row r="14" spans="1:5">
      <c r="A14" s="134" t="s">
        <v>18</v>
      </c>
      <c r="B14" s="134"/>
      <c r="C14" s="134"/>
      <c r="D14" s="88"/>
      <c r="E14" s="87"/>
    </row>
    <row r="15" spans="1:5" ht="28.15" customHeight="1">
      <c r="A15" s="85" t="s">
        <v>19</v>
      </c>
      <c r="B15" s="85" t="s">
        <v>20</v>
      </c>
      <c r="C15" s="135" t="s">
        <v>21</v>
      </c>
      <c r="D15" s="135"/>
      <c r="E15" s="135"/>
    </row>
    <row r="16" spans="1:5" ht="38.25" customHeight="1">
      <c r="A16" s="89" t="s">
        <v>156</v>
      </c>
      <c r="B16" s="85" t="s">
        <v>23</v>
      </c>
      <c r="C16" s="158" t="s">
        <v>157</v>
      </c>
      <c r="D16" s="136"/>
      <c r="E16" s="90">
        <v>2</v>
      </c>
    </row>
    <row r="17" spans="1:5">
      <c r="A17" s="87"/>
      <c r="B17" s="87"/>
      <c r="C17" s="87"/>
      <c r="D17" s="87"/>
      <c r="E17" s="87"/>
    </row>
    <row r="18" spans="1:5">
      <c r="A18" s="134" t="s">
        <v>25</v>
      </c>
      <c r="B18" s="134"/>
      <c r="C18" s="134"/>
      <c r="D18" s="134"/>
      <c r="E18" s="134"/>
    </row>
    <row r="19" spans="1:5">
      <c r="A19" s="137" t="s">
        <v>26</v>
      </c>
      <c r="B19" s="137"/>
      <c r="C19" s="137"/>
      <c r="D19" s="137"/>
      <c r="E19" s="137"/>
    </row>
    <row r="20" spans="1:5" ht="33" customHeight="1">
      <c r="A20" s="85">
        <v>1</v>
      </c>
      <c r="B20" s="91" t="s">
        <v>27</v>
      </c>
      <c r="C20" s="135" t="s">
        <v>157</v>
      </c>
      <c r="D20" s="135"/>
      <c r="E20" s="135"/>
    </row>
    <row r="21" spans="1:5" ht="21" customHeight="1">
      <c r="A21" s="85">
        <v>2</v>
      </c>
      <c r="B21" s="92" t="s">
        <v>28</v>
      </c>
      <c r="C21" s="138">
        <v>1579.08</v>
      </c>
      <c r="D21" s="138"/>
      <c r="E21" s="138"/>
    </row>
    <row r="22" spans="1:5" ht="33" customHeight="1">
      <c r="A22" s="85">
        <v>3</v>
      </c>
      <c r="B22" s="91" t="s">
        <v>29</v>
      </c>
      <c r="C22" s="139" t="s">
        <v>158</v>
      </c>
      <c r="D22" s="139"/>
      <c r="E22" s="139"/>
    </row>
    <row r="23" spans="1:5">
      <c r="A23" s="85">
        <v>4</v>
      </c>
      <c r="B23" s="92" t="s">
        <v>31</v>
      </c>
      <c r="C23" s="132">
        <v>45292</v>
      </c>
      <c r="D23" s="132"/>
      <c r="E23" s="132"/>
    </row>
    <row r="24" spans="1:5">
      <c r="A24" s="79"/>
      <c r="B24" s="79"/>
      <c r="C24" s="79"/>
      <c r="D24" s="79"/>
      <c r="E24" s="74"/>
    </row>
    <row r="25" spans="1:5">
      <c r="A25" s="74"/>
      <c r="B25" s="74"/>
      <c r="C25" s="74"/>
      <c r="D25" s="74"/>
      <c r="E25" s="74"/>
    </row>
    <row r="26" spans="1:5">
      <c r="A26" s="74"/>
      <c r="B26" s="74"/>
      <c r="C26" s="74"/>
      <c r="D26" s="74"/>
      <c r="E26" s="74"/>
    </row>
    <row r="27" spans="1:5">
      <c r="A27" s="140" t="s">
        <v>32</v>
      </c>
      <c r="B27" s="140"/>
      <c r="C27" s="140"/>
      <c r="D27" s="74"/>
      <c r="E27" s="74"/>
    </row>
    <row r="28" spans="1:5">
      <c r="A28" s="74"/>
      <c r="B28" s="74"/>
      <c r="C28" s="74"/>
      <c r="D28" s="74"/>
      <c r="E28" s="74"/>
    </row>
    <row r="29" spans="1:5">
      <c r="A29" s="93">
        <v>1</v>
      </c>
      <c r="B29" s="94" t="s">
        <v>33</v>
      </c>
      <c r="C29" s="94" t="s">
        <v>34</v>
      </c>
      <c r="D29" s="74"/>
      <c r="E29" s="74"/>
    </row>
    <row r="30" spans="1:5">
      <c r="A30" s="95" t="s">
        <v>8</v>
      </c>
      <c r="B30" s="96" t="s">
        <v>35</v>
      </c>
      <c r="C30" s="97">
        <v>1579.08</v>
      </c>
      <c r="D30" s="74"/>
      <c r="E30" s="74"/>
    </row>
    <row r="31" spans="1:5">
      <c r="A31" s="95" t="s">
        <v>10</v>
      </c>
      <c r="B31" s="96" t="s">
        <v>36</v>
      </c>
      <c r="C31" s="98"/>
      <c r="D31" s="74"/>
      <c r="E31" s="74"/>
    </row>
    <row r="32" spans="1:5">
      <c r="A32" s="95" t="s">
        <v>13</v>
      </c>
      <c r="B32" s="96" t="s">
        <v>37</v>
      </c>
      <c r="C32" s="98"/>
      <c r="D32" s="74"/>
      <c r="E32" s="74"/>
    </row>
    <row r="33" spans="1:5">
      <c r="A33" s="95" t="s">
        <v>16</v>
      </c>
      <c r="B33" s="96" t="s">
        <v>38</v>
      </c>
      <c r="C33" s="98"/>
      <c r="D33" s="74"/>
      <c r="E33" s="74"/>
    </row>
    <row r="34" spans="1:5">
      <c r="A34" s="95" t="s">
        <v>39</v>
      </c>
      <c r="B34" s="96" t="s">
        <v>40</v>
      </c>
      <c r="C34" s="98"/>
      <c r="D34" s="74"/>
      <c r="E34" s="74"/>
    </row>
    <row r="35" spans="1:5">
      <c r="A35" s="95" t="s">
        <v>41</v>
      </c>
      <c r="B35" s="96" t="s">
        <v>42</v>
      </c>
      <c r="C35" s="98"/>
      <c r="D35" s="74"/>
      <c r="E35" s="74"/>
    </row>
    <row r="36" spans="1:5">
      <c r="A36" s="141" t="s">
        <v>43</v>
      </c>
      <c r="B36" s="142"/>
      <c r="C36" s="98">
        <f>SUM(C30:C35)</f>
        <v>1579.08</v>
      </c>
      <c r="D36" s="74"/>
      <c r="E36" s="74"/>
    </row>
    <row r="37" spans="1:5">
      <c r="A37" s="74"/>
      <c r="B37" s="74"/>
      <c r="C37" s="74"/>
      <c r="D37" s="74"/>
      <c r="E37" s="74"/>
    </row>
    <row r="38" spans="1:5">
      <c r="A38" s="74"/>
      <c r="B38" s="74"/>
      <c r="C38" s="74"/>
      <c r="D38" s="74"/>
      <c r="E38" s="74"/>
    </row>
    <row r="39" spans="1:5">
      <c r="A39" s="140" t="s">
        <v>44</v>
      </c>
      <c r="B39" s="140"/>
      <c r="C39" s="140"/>
      <c r="D39" s="74"/>
      <c r="E39" s="74"/>
    </row>
    <row r="40" spans="1:5">
      <c r="A40" s="84"/>
      <c r="B40" s="74"/>
      <c r="C40" s="74"/>
      <c r="D40" s="74"/>
      <c r="E40" s="74"/>
    </row>
    <row r="41" spans="1:5">
      <c r="A41" s="143" t="s">
        <v>45</v>
      </c>
      <c r="B41" s="144"/>
      <c r="C41" s="145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93" t="s">
        <v>46</v>
      </c>
      <c r="B43" s="94" t="s">
        <v>47</v>
      </c>
      <c r="C43" s="94" t="s">
        <v>34</v>
      </c>
      <c r="D43" s="74"/>
      <c r="E43" s="74"/>
    </row>
    <row r="44" spans="1:5">
      <c r="A44" s="95" t="s">
        <v>8</v>
      </c>
      <c r="B44" s="96" t="s">
        <v>48</v>
      </c>
      <c r="C44" s="98">
        <f>TRUNC(C36*8.33%,2)</f>
        <v>131.53</v>
      </c>
      <c r="D44" s="74"/>
      <c r="E44" s="74"/>
    </row>
    <row r="45" spans="1:5">
      <c r="A45" s="95" t="s">
        <v>10</v>
      </c>
      <c r="B45" s="96" t="s">
        <v>49</v>
      </c>
      <c r="C45" s="98">
        <f>TRUNC(C36*12.1%,2)</f>
        <v>191.06</v>
      </c>
      <c r="D45" s="74"/>
      <c r="E45" s="74"/>
    </row>
    <row r="46" spans="1:5">
      <c r="A46" s="141" t="s">
        <v>43</v>
      </c>
      <c r="B46" s="142"/>
      <c r="C46" s="98">
        <f>SUM(C44:C45)</f>
        <v>322.58999999999997</v>
      </c>
      <c r="D46" s="74"/>
      <c r="E46" s="74"/>
    </row>
    <row r="47" spans="1:5">
      <c r="A47" s="74"/>
      <c r="B47" s="74"/>
      <c r="C47" s="74"/>
      <c r="D47" s="74"/>
      <c r="E47" s="74"/>
    </row>
    <row r="48" spans="1:5">
      <c r="A48" s="156" t="s">
        <v>50</v>
      </c>
      <c r="B48" s="156"/>
      <c r="C48" s="99" t="s">
        <v>51</v>
      </c>
      <c r="D48" s="100">
        <f>C36</f>
        <v>1579.08</v>
      </c>
      <c r="E48" s="74"/>
    </row>
    <row r="49" spans="1:6" ht="15.95" customHeight="1">
      <c r="A49" s="156"/>
      <c r="B49" s="156"/>
      <c r="C49" s="101" t="s">
        <v>52</v>
      </c>
      <c r="D49" s="102">
        <f>C46</f>
        <v>322.58999999999997</v>
      </c>
      <c r="E49" s="74"/>
    </row>
    <row r="50" spans="1:6" ht="18" customHeight="1">
      <c r="A50" s="157"/>
      <c r="B50" s="157"/>
      <c r="C50" s="103" t="s">
        <v>53</v>
      </c>
      <c r="D50" s="104">
        <f>SUM(D48:D49)</f>
        <v>1901.67</v>
      </c>
      <c r="E50" s="74"/>
      <c r="F50" s="105"/>
    </row>
    <row r="51" spans="1:6" ht="32.25" customHeight="1">
      <c r="A51" s="146" t="s">
        <v>54</v>
      </c>
      <c r="B51" s="147"/>
      <c r="C51" s="147"/>
      <c r="D51" s="148"/>
      <c r="E51" s="74"/>
    </row>
    <row r="52" spans="1:6">
      <c r="A52" s="74"/>
      <c r="B52" s="74"/>
      <c r="C52" s="74"/>
      <c r="D52" s="74"/>
      <c r="E52" s="74"/>
    </row>
    <row r="53" spans="1:6">
      <c r="A53" s="93" t="s">
        <v>55</v>
      </c>
      <c r="B53" s="94" t="s">
        <v>56</v>
      </c>
      <c r="C53" s="94" t="s">
        <v>57</v>
      </c>
      <c r="D53" s="94" t="s">
        <v>34</v>
      </c>
      <c r="E53" s="74"/>
    </row>
    <row r="54" spans="1:6">
      <c r="A54" s="95" t="s">
        <v>8</v>
      </c>
      <c r="B54" s="96" t="s">
        <v>58</v>
      </c>
      <c r="C54" s="106">
        <v>0.2</v>
      </c>
      <c r="D54" s="98">
        <f t="shared" ref="D54:D62" si="0">TRUNC(($C$36+$C$46)*C54,2)</f>
        <v>380.33</v>
      </c>
      <c r="E54" s="74"/>
    </row>
    <row r="55" spans="1:6">
      <c r="A55" s="95" t="s">
        <v>10</v>
      </c>
      <c r="B55" s="96" t="s">
        <v>59</v>
      </c>
      <c r="C55" s="106">
        <v>2.5000000000000001E-2</v>
      </c>
      <c r="D55" s="98">
        <f t="shared" si="0"/>
        <v>47.54</v>
      </c>
      <c r="E55" s="74"/>
    </row>
    <row r="56" spans="1:6">
      <c r="A56" s="95" t="s">
        <v>13</v>
      </c>
      <c r="B56" s="96" t="s">
        <v>60</v>
      </c>
      <c r="C56" s="106">
        <v>0.03</v>
      </c>
      <c r="D56" s="98">
        <f t="shared" si="0"/>
        <v>57.05</v>
      </c>
      <c r="E56" s="74"/>
    </row>
    <row r="57" spans="1:6">
      <c r="A57" s="95" t="s">
        <v>16</v>
      </c>
      <c r="B57" s="96" t="s">
        <v>61</v>
      </c>
      <c r="C57" s="106">
        <v>1.4999999999999999E-2</v>
      </c>
      <c r="D57" s="98">
        <f t="shared" si="0"/>
        <v>28.52</v>
      </c>
      <c r="E57" s="74"/>
    </row>
    <row r="58" spans="1:6">
      <c r="A58" s="95" t="s">
        <v>39</v>
      </c>
      <c r="B58" s="96" t="s">
        <v>62</v>
      </c>
      <c r="C58" s="106">
        <v>0.01</v>
      </c>
      <c r="D58" s="98">
        <f t="shared" si="0"/>
        <v>19.010000000000002</v>
      </c>
      <c r="E58" s="74"/>
    </row>
    <row r="59" spans="1:6">
      <c r="A59" s="95" t="s">
        <v>41</v>
      </c>
      <c r="B59" s="96" t="s">
        <v>63</v>
      </c>
      <c r="C59" s="106">
        <v>6.0000000000000001E-3</v>
      </c>
      <c r="D59" s="98">
        <f t="shared" si="0"/>
        <v>11.41</v>
      </c>
      <c r="E59" s="74"/>
    </row>
    <row r="60" spans="1:6">
      <c r="A60" s="95" t="s">
        <v>64</v>
      </c>
      <c r="B60" s="96" t="s">
        <v>65</v>
      </c>
      <c r="C60" s="106">
        <v>2E-3</v>
      </c>
      <c r="D60" s="98">
        <f t="shared" si="0"/>
        <v>3.8</v>
      </c>
      <c r="E60" s="74"/>
    </row>
    <row r="61" spans="1:6">
      <c r="A61" s="95" t="s">
        <v>66</v>
      </c>
      <c r="B61" s="96" t="s">
        <v>67</v>
      </c>
      <c r="C61" s="106">
        <v>0.08</v>
      </c>
      <c r="D61" s="98">
        <f t="shared" si="0"/>
        <v>152.13</v>
      </c>
      <c r="E61" s="74"/>
    </row>
    <row r="62" spans="1:6">
      <c r="A62" s="141" t="s">
        <v>68</v>
      </c>
      <c r="B62" s="142"/>
      <c r="C62" s="106">
        <f>SUM(C54:C61)</f>
        <v>0.36799999999999999</v>
      </c>
      <c r="D62" s="98">
        <f t="shared" si="0"/>
        <v>699.81</v>
      </c>
      <c r="E62" s="74"/>
    </row>
    <row r="63" spans="1:6">
      <c r="A63" s="74"/>
      <c r="B63" s="74"/>
      <c r="C63" s="74"/>
      <c r="D63" s="107"/>
      <c r="E63" s="74"/>
    </row>
    <row r="64" spans="1:6">
      <c r="A64" s="74"/>
      <c r="B64" s="74"/>
      <c r="C64" s="74"/>
      <c r="D64" s="74"/>
      <c r="E64" s="74"/>
    </row>
    <row r="65" spans="1:5">
      <c r="A65" s="143" t="s">
        <v>69</v>
      </c>
      <c r="B65" s="144"/>
      <c r="C65" s="145"/>
      <c r="D65" s="74"/>
      <c r="E65" s="74"/>
    </row>
    <row r="66" spans="1:5">
      <c r="A66" s="74"/>
      <c r="B66" s="74"/>
      <c r="C66" s="74"/>
      <c r="D66" s="74"/>
      <c r="E66" s="74"/>
    </row>
    <row r="67" spans="1:5">
      <c r="A67" s="93" t="s">
        <v>70</v>
      </c>
      <c r="B67" s="94" t="s">
        <v>71</v>
      </c>
      <c r="C67" s="94" t="s">
        <v>34</v>
      </c>
      <c r="D67" s="74"/>
      <c r="E67" s="74"/>
    </row>
    <row r="68" spans="1:5">
      <c r="A68" s="95" t="s">
        <v>8</v>
      </c>
      <c r="B68" s="96" t="s">
        <v>72</v>
      </c>
      <c r="C68" s="98">
        <f>TRUNC(((4.5*2*250)-((C36*6%)*12))/12,2)</f>
        <v>92.75</v>
      </c>
      <c r="D68" s="74"/>
      <c r="E68" s="74"/>
    </row>
    <row r="69" spans="1:5">
      <c r="A69" s="95" t="s">
        <v>10</v>
      </c>
      <c r="B69" s="96" t="s">
        <v>73</v>
      </c>
      <c r="C69" s="98">
        <f>((17*250)-(17*250*10%))/12</f>
        <v>318.75</v>
      </c>
      <c r="D69" s="74"/>
      <c r="E69" s="74"/>
    </row>
    <row r="70" spans="1:5">
      <c r="A70" s="95" t="s">
        <v>13</v>
      </c>
      <c r="B70" s="96" t="s">
        <v>74</v>
      </c>
      <c r="C70" s="108">
        <v>110</v>
      </c>
      <c r="D70" s="74"/>
      <c r="E70" s="74"/>
    </row>
    <row r="71" spans="1:5">
      <c r="A71" s="95" t="s">
        <v>16</v>
      </c>
      <c r="B71" s="96" t="s">
        <v>75</v>
      </c>
      <c r="C71" s="108"/>
      <c r="D71" s="74"/>
      <c r="E71" s="74"/>
    </row>
    <row r="72" spans="1:5">
      <c r="A72" s="141" t="s">
        <v>43</v>
      </c>
      <c r="B72" s="142"/>
      <c r="C72" s="98">
        <f>SUM(C68:C71)</f>
        <v>521.5</v>
      </c>
      <c r="D72" s="74"/>
      <c r="E72" s="74"/>
    </row>
    <row r="73" spans="1:5">
      <c r="A73" s="74"/>
      <c r="B73" s="74"/>
      <c r="C73" s="74"/>
      <c r="D73" s="74"/>
      <c r="E73" s="74"/>
    </row>
    <row r="74" spans="1:5">
      <c r="A74" s="74"/>
      <c r="B74" s="74"/>
      <c r="C74" s="74"/>
      <c r="D74" s="74"/>
      <c r="E74" s="74"/>
    </row>
    <row r="75" spans="1:5">
      <c r="A75" s="149" t="s">
        <v>76</v>
      </c>
      <c r="B75" s="150"/>
      <c r="C75" s="151"/>
      <c r="D75" s="74"/>
      <c r="E75" s="74"/>
    </row>
    <row r="76" spans="1:5">
      <c r="A76" s="74"/>
      <c r="B76" s="74"/>
      <c r="C76" s="74"/>
      <c r="D76" s="74"/>
      <c r="E76" s="74"/>
    </row>
    <row r="77" spans="1:5">
      <c r="A77" s="93">
        <v>2</v>
      </c>
      <c r="B77" s="94" t="s">
        <v>77</v>
      </c>
      <c r="C77" s="94" t="s">
        <v>34</v>
      </c>
      <c r="D77" s="74"/>
      <c r="E77" s="74"/>
    </row>
    <row r="78" spans="1:5">
      <c r="A78" s="95" t="s">
        <v>46</v>
      </c>
      <c r="B78" s="96" t="s">
        <v>47</v>
      </c>
      <c r="C78" s="98">
        <f>C46</f>
        <v>322.58999999999997</v>
      </c>
      <c r="D78" s="74"/>
      <c r="E78" s="74"/>
    </row>
    <row r="79" spans="1:5">
      <c r="A79" s="95" t="s">
        <v>55</v>
      </c>
      <c r="B79" s="96" t="s">
        <v>56</v>
      </c>
      <c r="C79" s="98">
        <f>D62</f>
        <v>699.81</v>
      </c>
      <c r="D79" s="74"/>
      <c r="E79" s="74"/>
    </row>
    <row r="80" spans="1:5">
      <c r="A80" s="95" t="s">
        <v>70</v>
      </c>
      <c r="B80" s="96" t="s">
        <v>71</v>
      </c>
      <c r="C80" s="98">
        <f>C72</f>
        <v>521.5</v>
      </c>
      <c r="D80" s="74"/>
      <c r="E80" s="74"/>
    </row>
    <row r="81" spans="1:5">
      <c r="A81" s="141" t="s">
        <v>43</v>
      </c>
      <c r="B81" s="142"/>
      <c r="C81" s="98">
        <f>SUM(C78:C80)</f>
        <v>1543.9</v>
      </c>
      <c r="D81" s="74"/>
      <c r="E81" s="74"/>
    </row>
    <row r="82" spans="1:5">
      <c r="A82" s="84"/>
      <c r="B82" s="74"/>
      <c r="C82" s="74"/>
      <c r="D82" s="74"/>
      <c r="E82" s="74"/>
    </row>
    <row r="83" spans="1:5">
      <c r="A83" s="74"/>
      <c r="B83" s="74"/>
      <c r="C83" s="74"/>
      <c r="D83" s="74"/>
      <c r="E83" s="74"/>
    </row>
    <row r="84" spans="1:5">
      <c r="A84" s="140" t="s">
        <v>78</v>
      </c>
      <c r="B84" s="140"/>
      <c r="C84" s="140"/>
      <c r="D84" s="74"/>
      <c r="E84" s="74"/>
    </row>
    <row r="85" spans="1:5">
      <c r="A85" s="74"/>
      <c r="B85" s="74"/>
      <c r="C85" s="107"/>
      <c r="D85" s="74"/>
      <c r="E85" s="74"/>
    </row>
    <row r="86" spans="1:5">
      <c r="A86" s="93">
        <v>3</v>
      </c>
      <c r="B86" s="94" t="s">
        <v>79</v>
      </c>
      <c r="C86" s="94" t="s">
        <v>34</v>
      </c>
      <c r="D86" s="74"/>
      <c r="E86" s="74"/>
    </row>
    <row r="87" spans="1:5">
      <c r="A87" s="95" t="s">
        <v>8</v>
      </c>
      <c r="B87" s="109" t="s">
        <v>80</v>
      </c>
      <c r="C87" s="98">
        <f>TRUNC(($C$36+$C$46+$D$62+$C$72)*(0.4167%),2)</f>
        <v>13.01</v>
      </c>
      <c r="D87" s="74"/>
      <c r="E87" s="74"/>
    </row>
    <row r="88" spans="1:5">
      <c r="A88" s="95" t="s">
        <v>10</v>
      </c>
      <c r="B88" s="109" t="s">
        <v>81</v>
      </c>
      <c r="C88" s="98">
        <f>TRUNC(C87*8%,2)</f>
        <v>1.04</v>
      </c>
      <c r="D88" s="107"/>
      <c r="E88" s="74"/>
    </row>
    <row r="89" spans="1:5">
      <c r="A89" s="95" t="s">
        <v>13</v>
      </c>
      <c r="B89" s="109" t="s">
        <v>82</v>
      </c>
      <c r="C89" s="98">
        <f>TRUNC(($C$36+$C$46+$D$62+$C$72)*(0.16%),2)</f>
        <v>4.99</v>
      </c>
      <c r="D89" s="107"/>
      <c r="E89" s="74"/>
    </row>
    <row r="90" spans="1:5">
      <c r="A90" s="95" t="s">
        <v>16</v>
      </c>
      <c r="B90" s="109" t="s">
        <v>83</v>
      </c>
      <c r="C90" s="98">
        <f>TRUNC(($C$36+$C$81)*(1.944%),2)</f>
        <v>60.71</v>
      </c>
      <c r="D90" s="74"/>
      <c r="E90" s="74"/>
    </row>
    <row r="91" spans="1:5">
      <c r="A91" s="95" t="s">
        <v>39</v>
      </c>
      <c r="B91" s="109" t="s">
        <v>84</v>
      </c>
      <c r="C91" s="98">
        <f>TRUNC($C$62*$C$90,2)</f>
        <v>22.34</v>
      </c>
      <c r="D91" s="74"/>
      <c r="E91" s="74"/>
    </row>
    <row r="92" spans="1:5">
      <c r="A92" s="95" t="s">
        <v>41</v>
      </c>
      <c r="B92" s="109" t="s">
        <v>85</v>
      </c>
      <c r="C92" s="98">
        <f>TRUNC(($C$36+$C$81)*(3.2%),2)</f>
        <v>99.93</v>
      </c>
      <c r="D92" s="107"/>
      <c r="E92" s="74"/>
    </row>
    <row r="93" spans="1:5">
      <c r="A93" s="141" t="s">
        <v>43</v>
      </c>
      <c r="B93" s="142"/>
      <c r="C93" s="98">
        <f>SUM(C87:C92)</f>
        <v>202.02</v>
      </c>
      <c r="D93" s="74"/>
      <c r="E93" s="74"/>
    </row>
    <row r="94" spans="1:5">
      <c r="A94" s="74"/>
      <c r="B94" s="74"/>
      <c r="C94" s="74"/>
      <c r="D94" s="74"/>
      <c r="E94" s="74"/>
    </row>
    <row r="95" spans="1:5">
      <c r="A95" s="156" t="s">
        <v>86</v>
      </c>
      <c r="B95" s="156"/>
      <c r="C95" s="99" t="s">
        <v>51</v>
      </c>
      <c r="D95" s="110">
        <f>C36</f>
        <v>1579.08</v>
      </c>
      <c r="E95" s="74"/>
    </row>
    <row r="96" spans="1:5">
      <c r="A96" s="156"/>
      <c r="B96" s="156"/>
      <c r="C96" s="99" t="s">
        <v>87</v>
      </c>
      <c r="D96" s="110">
        <f>C81</f>
        <v>1543.9</v>
      </c>
      <c r="E96" s="74"/>
    </row>
    <row r="97" spans="1:5">
      <c r="A97" s="156"/>
      <c r="B97" s="156"/>
      <c r="C97" s="99" t="s">
        <v>88</v>
      </c>
      <c r="D97" s="110">
        <f>C93</f>
        <v>202.02</v>
      </c>
      <c r="E97" s="74"/>
    </row>
    <row r="98" spans="1:5">
      <c r="A98" s="156"/>
      <c r="B98" s="156"/>
      <c r="C98" s="99" t="s">
        <v>53</v>
      </c>
      <c r="D98" s="110">
        <f>SUM(D95:D97)</f>
        <v>3325</v>
      </c>
      <c r="E98" s="74"/>
    </row>
    <row r="99" spans="1:5">
      <c r="A99" s="140" t="s">
        <v>89</v>
      </c>
      <c r="B99" s="140"/>
      <c r="C99" s="140"/>
      <c r="D99" s="74"/>
      <c r="E99" s="74"/>
    </row>
    <row r="100" spans="1:5">
      <c r="A100" s="74"/>
      <c r="B100" s="74"/>
      <c r="C100" s="74"/>
      <c r="D100" s="74"/>
      <c r="E100" s="74"/>
    </row>
    <row r="101" spans="1:5">
      <c r="A101" s="74"/>
      <c r="B101" s="74"/>
      <c r="C101" s="74"/>
      <c r="D101" s="74"/>
      <c r="E101" s="74"/>
    </row>
    <row r="102" spans="1:5">
      <c r="A102" s="143" t="s">
        <v>90</v>
      </c>
      <c r="B102" s="144"/>
      <c r="C102" s="145"/>
      <c r="D102" s="74"/>
      <c r="E102" s="74"/>
    </row>
    <row r="103" spans="1:5">
      <c r="A103" s="84"/>
      <c r="B103" s="74"/>
      <c r="C103" s="74"/>
      <c r="D103" s="74"/>
      <c r="E103" s="74"/>
    </row>
    <row r="104" spans="1:5">
      <c r="A104" s="93" t="s">
        <v>91</v>
      </c>
      <c r="B104" s="94" t="s">
        <v>92</v>
      </c>
      <c r="C104" s="94" t="s">
        <v>34</v>
      </c>
      <c r="D104" s="74"/>
      <c r="E104" s="74"/>
    </row>
    <row r="105" spans="1:5">
      <c r="A105" s="95" t="s">
        <v>8</v>
      </c>
      <c r="B105" s="96" t="s">
        <v>93</v>
      </c>
      <c r="C105" s="98">
        <f>TRUNC((C36+C81+C93)*0.926%,2)</f>
        <v>30.78</v>
      </c>
      <c r="D105" s="74"/>
      <c r="E105" s="74"/>
    </row>
    <row r="106" spans="1:5">
      <c r="A106" s="95" t="s">
        <v>10</v>
      </c>
      <c r="B106" s="96" t="s">
        <v>94</v>
      </c>
      <c r="C106" s="98">
        <f>TRUNC((C36+C81+C93)*0.556%,2)</f>
        <v>18.48</v>
      </c>
      <c r="D106" s="74"/>
      <c r="E106" s="74"/>
    </row>
    <row r="107" spans="1:5">
      <c r="A107" s="95" t="s">
        <v>13</v>
      </c>
      <c r="B107" s="96" t="s">
        <v>95</v>
      </c>
      <c r="C107" s="98">
        <f>TRUNC((C36+C81+C93)*0.028%,2)</f>
        <v>0.93</v>
      </c>
      <c r="D107" s="74"/>
      <c r="E107" s="74"/>
    </row>
    <row r="108" spans="1:5">
      <c r="A108" s="95" t="s">
        <v>16</v>
      </c>
      <c r="B108" s="96" t="s">
        <v>96</v>
      </c>
      <c r="C108" s="98">
        <f>TRUNC((C36+C81+C93)*0.333%,2)</f>
        <v>11.07</v>
      </c>
      <c r="D108" s="74"/>
      <c r="E108" s="74"/>
    </row>
    <row r="109" spans="1:5">
      <c r="A109" s="95" t="s">
        <v>39</v>
      </c>
      <c r="B109" s="96" t="s">
        <v>97</v>
      </c>
      <c r="C109" s="98">
        <f>TRUNC((C36+C81+C93)*0.056%,2)</f>
        <v>1.86</v>
      </c>
      <c r="D109" s="74"/>
      <c r="E109" s="74"/>
    </row>
    <row r="110" spans="1:5">
      <c r="A110" s="95" t="s">
        <v>41</v>
      </c>
      <c r="B110" s="96" t="s">
        <v>98</v>
      </c>
      <c r="C110" s="98"/>
      <c r="D110" s="74"/>
      <c r="E110" s="74"/>
    </row>
    <row r="111" spans="1:5">
      <c r="A111" s="141" t="s">
        <v>68</v>
      </c>
      <c r="B111" s="142"/>
      <c r="C111" s="98">
        <f>SUM(C105:C110)</f>
        <v>63.12</v>
      </c>
      <c r="D111" s="74"/>
      <c r="E111" s="74"/>
    </row>
    <row r="112" spans="1:5">
      <c r="A112" s="74"/>
      <c r="B112" s="74"/>
      <c r="C112" s="74"/>
      <c r="D112" s="74"/>
      <c r="E112" s="74"/>
    </row>
    <row r="113" spans="1:5">
      <c r="A113" s="74"/>
      <c r="B113" s="74"/>
      <c r="C113" s="74"/>
      <c r="D113" s="74"/>
      <c r="E113" s="74"/>
    </row>
    <row r="114" spans="1:5">
      <c r="A114" s="143" t="s">
        <v>99</v>
      </c>
      <c r="B114" s="144"/>
      <c r="C114" s="145"/>
      <c r="D114" s="74"/>
      <c r="E114" s="74"/>
    </row>
    <row r="115" spans="1:5">
      <c r="A115" s="84"/>
      <c r="B115" s="74"/>
      <c r="C115" s="74"/>
      <c r="D115" s="74"/>
      <c r="E115" s="74"/>
    </row>
    <row r="116" spans="1:5">
      <c r="A116" s="93" t="s">
        <v>100</v>
      </c>
      <c r="B116" s="94" t="s">
        <v>101</v>
      </c>
      <c r="C116" s="94" t="s">
        <v>34</v>
      </c>
      <c r="D116" s="74"/>
      <c r="E116" s="74"/>
    </row>
    <row r="117" spans="1:5">
      <c r="A117" s="95" t="s">
        <v>8</v>
      </c>
      <c r="B117" s="96" t="s">
        <v>102</v>
      </c>
      <c r="C117" s="111"/>
      <c r="D117" s="74"/>
      <c r="E117" s="74"/>
    </row>
    <row r="118" spans="1:5">
      <c r="A118" s="141" t="s">
        <v>43</v>
      </c>
      <c r="B118" s="142"/>
      <c r="C118" s="98">
        <v>0</v>
      </c>
      <c r="D118" s="74"/>
      <c r="E118" s="74"/>
    </row>
    <row r="119" spans="1:5">
      <c r="A119" s="74"/>
      <c r="B119" s="74"/>
      <c r="C119" s="74"/>
      <c r="D119" s="74"/>
      <c r="E119" s="74"/>
    </row>
    <row r="120" spans="1:5">
      <c r="A120" s="74"/>
      <c r="B120" s="74"/>
      <c r="C120" s="74"/>
      <c r="D120" s="74"/>
      <c r="E120" s="74"/>
    </row>
    <row r="121" spans="1:5">
      <c r="A121" s="149" t="s">
        <v>103</v>
      </c>
      <c r="B121" s="150"/>
      <c r="C121" s="151"/>
      <c r="D121" s="74"/>
      <c r="E121" s="74"/>
    </row>
    <row r="122" spans="1:5">
      <c r="A122" s="84"/>
      <c r="B122" s="74"/>
      <c r="C122" s="74"/>
      <c r="D122" s="74"/>
      <c r="E122" s="74"/>
    </row>
    <row r="123" spans="1:5">
      <c r="A123" s="93">
        <v>4</v>
      </c>
      <c r="B123" s="94" t="s">
        <v>104</v>
      </c>
      <c r="C123" s="94" t="s">
        <v>34</v>
      </c>
      <c r="D123" s="74"/>
      <c r="E123" s="74"/>
    </row>
    <row r="124" spans="1:5">
      <c r="A124" s="95" t="s">
        <v>91</v>
      </c>
      <c r="B124" s="96" t="s">
        <v>92</v>
      </c>
      <c r="C124" s="98">
        <f>C111</f>
        <v>63.12</v>
      </c>
      <c r="D124" s="74"/>
      <c r="E124" s="74"/>
    </row>
    <row r="125" spans="1:5">
      <c r="A125" s="95" t="s">
        <v>100</v>
      </c>
      <c r="B125" s="96" t="s">
        <v>101</v>
      </c>
      <c r="C125" s="98">
        <f>C118</f>
        <v>0</v>
      </c>
      <c r="D125" s="74"/>
      <c r="E125" s="74"/>
    </row>
    <row r="126" spans="1:5">
      <c r="A126" s="141" t="s">
        <v>43</v>
      </c>
      <c r="B126" s="142"/>
      <c r="C126" s="98">
        <f>SUM(C124:C125)</f>
        <v>63.12</v>
      </c>
      <c r="D126" s="74"/>
      <c r="E126" s="74"/>
    </row>
    <row r="127" spans="1:5">
      <c r="A127" s="74"/>
      <c r="B127" s="74"/>
      <c r="C127" s="74"/>
      <c r="D127" s="74"/>
      <c r="E127" s="74"/>
    </row>
    <row r="128" spans="1:5">
      <c r="A128" s="74"/>
      <c r="B128" s="74"/>
      <c r="C128" s="74"/>
      <c r="D128" s="74"/>
      <c r="E128" s="74"/>
    </row>
    <row r="129" spans="1:5">
      <c r="A129" s="140" t="s">
        <v>105</v>
      </c>
      <c r="B129" s="140"/>
      <c r="C129" s="140"/>
      <c r="D129" s="74"/>
      <c r="E129" s="74"/>
    </row>
    <row r="130" spans="1:5">
      <c r="A130" s="112"/>
      <c r="B130" s="112"/>
      <c r="C130" s="112"/>
      <c r="D130" s="74"/>
      <c r="E130" s="74"/>
    </row>
    <row r="131" spans="1:5">
      <c r="A131" s="152" t="s">
        <v>106</v>
      </c>
      <c r="B131" s="152"/>
      <c r="C131" s="152"/>
      <c r="D131" s="152"/>
      <c r="E131" s="153"/>
    </row>
    <row r="132" spans="1:5">
      <c r="A132" s="113" t="s">
        <v>107</v>
      </c>
      <c r="B132" s="113" t="s">
        <v>108</v>
      </c>
      <c r="C132" s="114" t="s">
        <v>109</v>
      </c>
      <c r="D132" s="114" t="s">
        <v>110</v>
      </c>
      <c r="E132" s="115" t="s">
        <v>111</v>
      </c>
    </row>
    <row r="133" spans="1:5">
      <c r="A133" s="93">
        <v>1</v>
      </c>
      <c r="B133" s="80" t="s">
        <v>112</v>
      </c>
      <c r="C133" s="116">
        <v>4</v>
      </c>
      <c r="D133" s="117">
        <v>23.46</v>
      </c>
      <c r="E133" s="118">
        <f>D133*C133</f>
        <v>93.84</v>
      </c>
    </row>
    <row r="134" spans="1:5">
      <c r="A134" s="95">
        <v>2</v>
      </c>
      <c r="B134" s="80" t="s">
        <v>113</v>
      </c>
      <c r="C134" s="116">
        <v>2</v>
      </c>
      <c r="D134" s="117">
        <v>37.72</v>
      </c>
      <c r="E134" s="118">
        <f>D134*C134</f>
        <v>75.44</v>
      </c>
    </row>
    <row r="135" spans="1:5">
      <c r="A135" s="95">
        <v>3</v>
      </c>
      <c r="B135" s="80" t="s">
        <v>114</v>
      </c>
      <c r="C135" s="116">
        <v>4</v>
      </c>
      <c r="D135" s="117">
        <v>7</v>
      </c>
      <c r="E135" s="118">
        <f t="shared" ref="E135:E137" si="1">C135*D135</f>
        <v>28</v>
      </c>
    </row>
    <row r="136" spans="1:5">
      <c r="A136" s="95">
        <v>4</v>
      </c>
      <c r="B136" s="80" t="s">
        <v>115</v>
      </c>
      <c r="C136" s="116">
        <v>1</v>
      </c>
      <c r="D136" s="117">
        <v>47.6</v>
      </c>
      <c r="E136" s="118">
        <f t="shared" si="1"/>
        <v>47.6</v>
      </c>
    </row>
    <row r="137" spans="1:5">
      <c r="A137" s="95">
        <v>5</v>
      </c>
      <c r="B137" s="80" t="s">
        <v>116</v>
      </c>
      <c r="C137" s="116">
        <v>1</v>
      </c>
      <c r="D137" s="117">
        <v>58.99</v>
      </c>
      <c r="E137" s="118">
        <f t="shared" si="1"/>
        <v>58.99</v>
      </c>
    </row>
    <row r="138" spans="1:5">
      <c r="A138" s="154" t="s">
        <v>117</v>
      </c>
      <c r="B138" s="155"/>
      <c r="C138" s="119"/>
      <c r="D138" s="119"/>
      <c r="E138" s="120">
        <f>SUM(E133:E137)</f>
        <v>303.87</v>
      </c>
    </row>
    <row r="139" spans="1:5">
      <c r="A139" s="154" t="s">
        <v>118</v>
      </c>
      <c r="B139" s="155"/>
      <c r="C139" s="119"/>
      <c r="D139" s="119"/>
      <c r="E139" s="120">
        <f>E138/12</f>
        <v>25.322500000000002</v>
      </c>
    </row>
    <row r="140" spans="1:5">
      <c r="A140" s="112"/>
      <c r="B140" s="112"/>
      <c r="C140" s="112"/>
      <c r="D140" s="74"/>
      <c r="E140" s="74"/>
    </row>
    <row r="141" spans="1:5">
      <c r="A141" s="93">
        <v>5</v>
      </c>
      <c r="B141" s="121" t="s">
        <v>119</v>
      </c>
      <c r="C141" s="94" t="s">
        <v>34</v>
      </c>
      <c r="D141" s="74"/>
      <c r="E141" s="74"/>
    </row>
    <row r="142" spans="1:5">
      <c r="A142" s="95" t="s">
        <v>8</v>
      </c>
      <c r="B142" s="96" t="s">
        <v>120</v>
      </c>
      <c r="C142" s="98">
        <f>E139</f>
        <v>25.322500000000002</v>
      </c>
      <c r="D142" s="74"/>
      <c r="E142" s="74"/>
    </row>
    <row r="143" spans="1:5">
      <c r="A143" s="95" t="s">
        <v>10</v>
      </c>
      <c r="B143" s="96" t="s">
        <v>121</v>
      </c>
      <c r="C143" s="98">
        <v>0</v>
      </c>
      <c r="D143" s="74"/>
      <c r="E143" s="74"/>
    </row>
    <row r="144" spans="1:5">
      <c r="A144" s="95" t="s">
        <v>13</v>
      </c>
      <c r="B144" s="96" t="s">
        <v>122</v>
      </c>
      <c r="C144" s="98">
        <f>'Equipamentos Uso Coletivo'!G7</f>
        <v>2.82</v>
      </c>
      <c r="D144" s="74"/>
      <c r="E144" s="74"/>
    </row>
    <row r="145" spans="1:5">
      <c r="A145" s="95" t="s">
        <v>16</v>
      </c>
      <c r="B145" s="96" t="s">
        <v>123</v>
      </c>
      <c r="C145" s="98"/>
      <c r="D145" s="74"/>
      <c r="E145" s="74"/>
    </row>
    <row r="146" spans="1:5">
      <c r="A146" s="141" t="s">
        <v>68</v>
      </c>
      <c r="B146" s="142"/>
      <c r="C146" s="98">
        <f>SUM(C142:C145)</f>
        <v>28.142500000000002</v>
      </c>
      <c r="D146" s="74"/>
      <c r="E146" s="74"/>
    </row>
    <row r="147" spans="1:5">
      <c r="A147" s="74"/>
      <c r="B147" s="74"/>
      <c r="C147" s="74"/>
      <c r="D147" s="74"/>
      <c r="E147" s="74"/>
    </row>
    <row r="148" spans="1:5">
      <c r="A148" s="74"/>
      <c r="B148" s="74"/>
      <c r="C148" s="74"/>
      <c r="D148" s="74"/>
      <c r="E148" s="74"/>
    </row>
    <row r="149" spans="1:5">
      <c r="A149" s="156" t="s">
        <v>124</v>
      </c>
      <c r="B149" s="156"/>
      <c r="C149" s="156"/>
      <c r="D149" s="99" t="s">
        <v>51</v>
      </c>
      <c r="E149" s="100">
        <f>C36</f>
        <v>1579.08</v>
      </c>
    </row>
    <row r="150" spans="1:5">
      <c r="A150" s="156"/>
      <c r="B150" s="156"/>
      <c r="C150" s="156"/>
      <c r="D150" s="99" t="s">
        <v>87</v>
      </c>
      <c r="E150" s="100">
        <f>C81</f>
        <v>1543.9</v>
      </c>
    </row>
    <row r="151" spans="1:5">
      <c r="A151" s="156"/>
      <c r="B151" s="156"/>
      <c r="C151" s="156"/>
      <c r="D151" s="99" t="s">
        <v>88</v>
      </c>
      <c r="E151" s="100">
        <f>C93</f>
        <v>202.02</v>
      </c>
    </row>
    <row r="152" spans="1:5">
      <c r="A152" s="156"/>
      <c r="B152" s="156"/>
      <c r="C152" s="156"/>
      <c r="D152" s="99" t="s">
        <v>125</v>
      </c>
      <c r="E152" s="100">
        <f>C126</f>
        <v>63.12</v>
      </c>
    </row>
    <row r="153" spans="1:5">
      <c r="A153" s="156"/>
      <c r="B153" s="156"/>
      <c r="C153" s="156"/>
      <c r="D153" s="99" t="s">
        <v>126</v>
      </c>
      <c r="E153" s="100">
        <f>C146</f>
        <v>28.142500000000002</v>
      </c>
    </row>
    <row r="154" spans="1:5">
      <c r="A154" s="156"/>
      <c r="B154" s="156"/>
      <c r="C154" s="156"/>
      <c r="D154" s="99" t="s">
        <v>53</v>
      </c>
      <c r="E154" s="100">
        <f>SUM(E149:E153)</f>
        <v>3416.2624999999998</v>
      </c>
    </row>
    <row r="155" spans="1:5">
      <c r="A155" s="140" t="s">
        <v>127</v>
      </c>
      <c r="B155" s="140"/>
      <c r="C155" s="140"/>
      <c r="D155" s="74"/>
      <c r="E155" s="74"/>
    </row>
    <row r="156" spans="1:5">
      <c r="A156" s="74"/>
      <c r="B156" s="74"/>
      <c r="C156" s="74"/>
      <c r="D156" s="74"/>
      <c r="E156" s="74"/>
    </row>
    <row r="157" spans="1:5">
      <c r="A157" s="93">
        <v>6</v>
      </c>
      <c r="B157" s="121" t="s">
        <v>128</v>
      </c>
      <c r="C157" s="94" t="s">
        <v>57</v>
      </c>
      <c r="D157" s="94" t="s">
        <v>34</v>
      </c>
      <c r="E157" s="74"/>
    </row>
    <row r="158" spans="1:5">
      <c r="A158" s="95" t="s">
        <v>8</v>
      </c>
      <c r="B158" s="96" t="s">
        <v>123</v>
      </c>
      <c r="C158" s="122">
        <v>0.05</v>
      </c>
      <c r="D158" s="108">
        <f>C175*C158</f>
        <v>170.81300000000002</v>
      </c>
      <c r="E158" s="74"/>
    </row>
    <row r="159" spans="1:5">
      <c r="A159" s="95" t="s">
        <v>10</v>
      </c>
      <c r="B159" s="96" t="s">
        <v>129</v>
      </c>
      <c r="C159" s="122">
        <v>0.1</v>
      </c>
      <c r="D159" s="108">
        <f>(C175+D158)*C159</f>
        <v>358.70730000000003</v>
      </c>
      <c r="E159" s="74"/>
    </row>
    <row r="160" spans="1:5">
      <c r="A160" s="95" t="s">
        <v>13</v>
      </c>
      <c r="B160" s="96" t="s">
        <v>130</v>
      </c>
      <c r="C160" s="122">
        <v>8.6499999999999994E-2</v>
      </c>
      <c r="D160" s="123"/>
      <c r="E160" s="107">
        <f>(C175+D158+D159)/(1-C160)</f>
        <v>4319.4091954022997</v>
      </c>
    </row>
    <row r="161" spans="1:5">
      <c r="A161" s="95"/>
      <c r="B161" s="96" t="s">
        <v>131</v>
      </c>
      <c r="C161" s="122">
        <v>6.4999999999999997E-3</v>
      </c>
      <c r="D161" s="108">
        <f t="shared" ref="D161:D163" si="2">$E$160*C161</f>
        <v>28.076159770114948</v>
      </c>
      <c r="E161" s="74"/>
    </row>
    <row r="162" spans="1:5">
      <c r="A162" s="95"/>
      <c r="B162" s="96" t="s">
        <v>132</v>
      </c>
      <c r="C162" s="122">
        <v>0.03</v>
      </c>
      <c r="D162" s="108">
        <f t="shared" si="2"/>
        <v>129.582275862069</v>
      </c>
      <c r="E162" s="74"/>
    </row>
    <row r="163" spans="1:5">
      <c r="A163" s="95"/>
      <c r="B163" s="96" t="s">
        <v>133</v>
      </c>
      <c r="C163" s="122">
        <v>0.05</v>
      </c>
      <c r="D163" s="108">
        <f t="shared" si="2"/>
        <v>215.97045977011499</v>
      </c>
      <c r="E163" s="74"/>
    </row>
    <row r="164" spans="1:5">
      <c r="A164" s="141" t="s">
        <v>68</v>
      </c>
      <c r="B164" s="142"/>
      <c r="C164" s="106"/>
      <c r="D164" s="108">
        <f>TRUNC(SUM(D158:D163),2)</f>
        <v>903.14</v>
      </c>
      <c r="E164" s="107"/>
    </row>
    <row r="165" spans="1:5">
      <c r="A165" s="74"/>
      <c r="B165" s="74"/>
      <c r="C165" s="74"/>
      <c r="D165" s="107"/>
      <c r="E165" s="74"/>
    </row>
    <row r="166" spans="1:5">
      <c r="A166" s="74"/>
      <c r="B166" s="74"/>
      <c r="C166" s="74"/>
      <c r="D166" s="74"/>
      <c r="E166" s="74"/>
    </row>
    <row r="167" spans="1:5">
      <c r="A167" s="149" t="s">
        <v>134</v>
      </c>
      <c r="B167" s="150"/>
      <c r="C167" s="151"/>
      <c r="D167" s="74"/>
      <c r="E167" s="74"/>
    </row>
    <row r="168" spans="1:5">
      <c r="A168" s="74"/>
      <c r="B168" s="74"/>
      <c r="C168" s="74"/>
      <c r="D168" s="74"/>
      <c r="E168" s="74"/>
    </row>
    <row r="169" spans="1:5">
      <c r="A169" s="93"/>
      <c r="B169" s="94" t="s">
        <v>135</v>
      </c>
      <c r="C169" s="94" t="s">
        <v>34</v>
      </c>
      <c r="D169" s="74"/>
      <c r="E169" s="74"/>
    </row>
    <row r="170" spans="1:5">
      <c r="A170" s="95" t="s">
        <v>8</v>
      </c>
      <c r="B170" s="96" t="s">
        <v>32</v>
      </c>
      <c r="C170" s="124">
        <f>C36</f>
        <v>1579.08</v>
      </c>
      <c r="D170" s="74"/>
      <c r="E170" s="74"/>
    </row>
    <row r="171" spans="1:5">
      <c r="A171" s="95" t="s">
        <v>10</v>
      </c>
      <c r="B171" s="96" t="s">
        <v>44</v>
      </c>
      <c r="C171" s="124">
        <f>C81</f>
        <v>1543.9</v>
      </c>
      <c r="D171" s="74"/>
      <c r="E171" s="74"/>
    </row>
    <row r="172" spans="1:5">
      <c r="A172" s="95" t="s">
        <v>13</v>
      </c>
      <c r="B172" s="96" t="s">
        <v>78</v>
      </c>
      <c r="C172" s="124">
        <f>C93</f>
        <v>202.02</v>
      </c>
      <c r="D172" s="74"/>
      <c r="E172" s="74"/>
    </row>
    <row r="173" spans="1:5">
      <c r="A173" s="95" t="s">
        <v>16</v>
      </c>
      <c r="B173" s="96" t="s">
        <v>89</v>
      </c>
      <c r="C173" s="124">
        <f>C126</f>
        <v>63.12</v>
      </c>
      <c r="D173" s="74"/>
      <c r="E173" s="74"/>
    </row>
    <row r="174" spans="1:5">
      <c r="A174" s="95" t="s">
        <v>39</v>
      </c>
      <c r="B174" s="96" t="s">
        <v>105</v>
      </c>
      <c r="C174" s="124">
        <f>C146</f>
        <v>28.142500000000002</v>
      </c>
      <c r="D174" s="74"/>
      <c r="E174" s="74"/>
    </row>
    <row r="175" spans="1:5">
      <c r="A175" s="141" t="s">
        <v>136</v>
      </c>
      <c r="B175" s="142"/>
      <c r="C175" s="124">
        <f>TRUNC(SUM(C170:C174),2)</f>
        <v>3416.26</v>
      </c>
      <c r="D175" s="74"/>
      <c r="E175" s="74"/>
    </row>
    <row r="176" spans="1:5">
      <c r="A176" s="95" t="s">
        <v>41</v>
      </c>
      <c r="B176" s="96" t="s">
        <v>137</v>
      </c>
      <c r="C176" s="124">
        <f>D164</f>
        <v>903.14</v>
      </c>
      <c r="D176" s="74"/>
      <c r="E176" s="74"/>
    </row>
    <row r="177" spans="1:6">
      <c r="A177" s="141" t="s">
        <v>138</v>
      </c>
      <c r="B177" s="142"/>
      <c r="C177" s="124">
        <f>C175+C176</f>
        <v>4319.4000000000005</v>
      </c>
      <c r="D177" s="74"/>
      <c r="E177" s="74"/>
    </row>
    <row r="178" spans="1:6">
      <c r="A178" s="74"/>
      <c r="B178" s="74"/>
      <c r="C178" s="74"/>
      <c r="D178" s="74"/>
      <c r="E178" s="74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 s="73"/>
      <c r="B182" s="73"/>
      <c r="C182" s="74"/>
      <c r="E182" s="11"/>
      <c r="F182"/>
    </row>
    <row r="183" spans="1:6">
      <c r="A183" s="75"/>
      <c r="B183" s="75"/>
      <c r="C183" s="11"/>
      <c r="E183" s="11"/>
      <c r="F183"/>
    </row>
    <row r="184" spans="1:6">
      <c r="C184" s="11"/>
      <c r="E184" s="11"/>
      <c r="F184"/>
    </row>
    <row r="185" spans="1:6">
      <c r="A185" s="10"/>
      <c r="B185" s="75"/>
      <c r="C185" s="11"/>
      <c r="E185" s="11"/>
      <c r="F185"/>
    </row>
    <row r="186" spans="1:6">
      <c r="A186" s="77"/>
      <c r="B186" s="77"/>
      <c r="C186" s="77"/>
      <c r="E186" s="11"/>
      <c r="F186"/>
    </row>
    <row r="188" spans="1:6">
      <c r="B188" s="73"/>
    </row>
    <row r="189" spans="1:6">
      <c r="B189" s="75"/>
    </row>
    <row r="191" spans="1:6">
      <c r="B191" s="75"/>
    </row>
    <row r="192" spans="1:6">
      <c r="B192" s="77"/>
    </row>
  </sheetData>
  <mergeCells count="50">
    <mergeCell ref="A175:B175"/>
    <mergeCell ref="A177:B177"/>
    <mergeCell ref="A48:B50"/>
    <mergeCell ref="A95:B98"/>
    <mergeCell ref="A149:C154"/>
    <mergeCell ref="A139:B139"/>
    <mergeCell ref="A146:B146"/>
    <mergeCell ref="A155:C155"/>
    <mergeCell ref="A164:B164"/>
    <mergeCell ref="A167:C167"/>
    <mergeCell ref="A121:C121"/>
    <mergeCell ref="A126:B126"/>
    <mergeCell ref="A129:C129"/>
    <mergeCell ref="A131:E131"/>
    <mergeCell ref="A138:B138"/>
    <mergeCell ref="A99:C99"/>
    <mergeCell ref="A102:C102"/>
    <mergeCell ref="A111:B111"/>
    <mergeCell ref="A114:C114"/>
    <mergeCell ref="A118:B118"/>
    <mergeCell ref="A72:B72"/>
    <mergeCell ref="A75:C75"/>
    <mergeCell ref="A81:B81"/>
    <mergeCell ref="A84:C84"/>
    <mergeCell ref="A93:B93"/>
    <mergeCell ref="A41:C41"/>
    <mergeCell ref="A46:B46"/>
    <mergeCell ref="A51:D51"/>
    <mergeCell ref="A62:B62"/>
    <mergeCell ref="A65:C65"/>
    <mergeCell ref="C22:E22"/>
    <mergeCell ref="C23:E23"/>
    <mergeCell ref="A27:C27"/>
    <mergeCell ref="A36:B36"/>
    <mergeCell ref="A39:C39"/>
    <mergeCell ref="C16:D16"/>
    <mergeCell ref="A18:E18"/>
    <mergeCell ref="A19:E19"/>
    <mergeCell ref="C20:E20"/>
    <mergeCell ref="C21:E21"/>
    <mergeCell ref="C10:E10"/>
    <mergeCell ref="C11:E11"/>
    <mergeCell ref="C12:E12"/>
    <mergeCell ref="A14:C14"/>
    <mergeCell ref="C15:E15"/>
    <mergeCell ref="A1:D1"/>
    <mergeCell ref="A2:D2"/>
    <mergeCell ref="A3:D3"/>
    <mergeCell ref="A8:E8"/>
    <mergeCell ref="C9:E9"/>
  </mergeCells>
  <pageMargins left="0.511811024" right="0.511811024" top="0.78740157499999996" bottom="0.78740157499999996" header="0.31496062000000002" footer="0.31496062000000002"/>
  <pageSetup paperSize="9" scale="71" orientation="portrait"/>
  <rowBreaks count="2" manualBreakCount="2">
    <brk id="63" max="6" man="1"/>
    <brk id="127" max="6" man="1"/>
  </row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zoomScaleSheetLayoutView="70" workbookViewId="0">
      <selection activeCell="H5" sqref="H5:I5"/>
    </sheetView>
  </sheetViews>
  <sheetFormatPr defaultColWidth="9" defaultRowHeight="15"/>
  <cols>
    <col min="2" max="2" width="37.5703125" customWidth="1"/>
    <col min="4" max="4" width="10" customWidth="1"/>
    <col min="5" max="5" width="11" customWidth="1"/>
    <col min="6" max="6" width="10.7109375" customWidth="1"/>
    <col min="7" max="7" width="10.85546875" customWidth="1"/>
    <col min="8" max="8" width="6" customWidth="1"/>
    <col min="9" max="9" width="4.7109375" customWidth="1"/>
  </cols>
  <sheetData>
    <row r="1" spans="1:13" ht="15" customHeight="1">
      <c r="A1" s="168" t="s">
        <v>159</v>
      </c>
      <c r="B1" s="169"/>
      <c r="C1" s="169"/>
      <c r="D1" s="169"/>
      <c r="E1" s="169"/>
      <c r="F1" s="169"/>
      <c r="G1" s="169"/>
      <c r="H1" s="169"/>
      <c r="I1" s="170"/>
    </row>
    <row r="2" spans="1:13" ht="15" customHeight="1">
      <c r="A2" s="171"/>
      <c r="B2" s="172"/>
      <c r="C2" s="172"/>
      <c r="D2" s="172"/>
      <c r="E2" s="172"/>
      <c r="F2" s="172"/>
      <c r="G2" s="172"/>
      <c r="H2" s="172"/>
      <c r="I2" s="173"/>
    </row>
    <row r="3" spans="1:13" ht="15.75" customHeight="1">
      <c r="A3" s="159" t="s">
        <v>160</v>
      </c>
      <c r="B3" s="159" t="s">
        <v>161</v>
      </c>
      <c r="C3" s="159" t="s">
        <v>162</v>
      </c>
      <c r="D3" s="159" t="s">
        <v>163</v>
      </c>
      <c r="E3" s="159" t="s">
        <v>164</v>
      </c>
      <c r="F3" s="159" t="s">
        <v>165</v>
      </c>
      <c r="G3" s="159"/>
      <c r="H3" s="164" t="s">
        <v>166</v>
      </c>
      <c r="I3" s="165"/>
    </row>
    <row r="4" spans="1:13" ht="47.1" customHeight="1">
      <c r="A4" s="163"/>
      <c r="B4" s="163"/>
      <c r="C4" s="163"/>
      <c r="D4" s="163"/>
      <c r="E4" s="163"/>
      <c r="F4" s="66" t="s">
        <v>167</v>
      </c>
      <c r="G4" s="66" t="s">
        <v>168</v>
      </c>
      <c r="H4" s="166"/>
      <c r="I4" s="167"/>
    </row>
    <row r="5" spans="1:13" ht="120.95" customHeight="1">
      <c r="A5" s="67">
        <v>1</v>
      </c>
      <c r="B5" s="68" t="s">
        <v>169</v>
      </c>
      <c r="C5" s="68" t="s">
        <v>170</v>
      </c>
      <c r="D5" s="67">
        <v>2</v>
      </c>
      <c r="E5" s="69">
        <v>120</v>
      </c>
      <c r="F5" s="70">
        <f>TRUNC(1695.561,2)</f>
        <v>1695.56</v>
      </c>
      <c r="G5" s="71">
        <f>TRUNC(F5*D5,2)</f>
        <v>3391.12</v>
      </c>
      <c r="H5" s="160">
        <f>TRUNC(((G5*0.9)/(12*10))/9,2)</f>
        <v>2.82</v>
      </c>
      <c r="I5" s="161"/>
      <c r="M5" s="78"/>
    </row>
    <row r="6" spans="1:13">
      <c r="A6" s="162" t="s">
        <v>171</v>
      </c>
      <c r="B6" s="162"/>
      <c r="C6" s="162"/>
      <c r="D6" s="162"/>
      <c r="E6" s="162"/>
      <c r="F6" s="162"/>
      <c r="G6" s="72">
        <f>SUM(H5:I5)</f>
        <v>2.82</v>
      </c>
    </row>
    <row r="7" spans="1:13">
      <c r="A7" s="162" t="s">
        <v>172</v>
      </c>
      <c r="B7" s="162"/>
      <c r="C7" s="162"/>
      <c r="D7" s="162"/>
      <c r="E7" s="162"/>
      <c r="F7" s="162"/>
      <c r="G7" s="72">
        <f>G6</f>
        <v>2.82</v>
      </c>
    </row>
    <row r="8" spans="1:13" ht="15.75">
      <c r="A8" s="11"/>
      <c r="B8" s="11"/>
      <c r="C8" s="11"/>
      <c r="D8" s="11"/>
      <c r="E8" s="11"/>
      <c r="F8" s="11"/>
      <c r="G8" s="11"/>
    </row>
    <row r="9" spans="1:13" ht="15.75">
      <c r="A9" s="11"/>
      <c r="B9" s="11"/>
      <c r="C9" s="11"/>
      <c r="D9" s="11"/>
      <c r="E9" s="11"/>
      <c r="F9" s="11"/>
      <c r="G9" s="11"/>
    </row>
    <row r="10" spans="1:13" ht="15.75">
      <c r="A10" s="11"/>
    </row>
    <row r="11" spans="1:13" ht="15.75">
      <c r="A11" s="11"/>
    </row>
    <row r="12" spans="1:13" ht="15.75">
      <c r="A12" s="11"/>
      <c r="B12" s="73"/>
      <c r="C12" s="74"/>
      <c r="D12" s="73"/>
      <c r="E12" s="74"/>
      <c r="F12" s="11"/>
    </row>
    <row r="13" spans="1:13" ht="15.75">
      <c r="A13" s="11"/>
      <c r="B13" s="75"/>
      <c r="C13" s="11"/>
      <c r="D13" s="75"/>
      <c r="E13" s="11"/>
      <c r="F13" s="11"/>
    </row>
    <row r="14" spans="1:13" ht="15.75">
      <c r="A14" s="11"/>
      <c r="B14" s="76"/>
      <c r="C14" s="11"/>
      <c r="D14" s="76"/>
      <c r="E14" s="11"/>
      <c r="F14" s="11"/>
    </row>
    <row r="15" spans="1:13" ht="15.75">
      <c r="A15" s="11"/>
      <c r="B15" s="10"/>
      <c r="C15" s="11"/>
      <c r="D15" s="75"/>
      <c r="E15" s="11"/>
      <c r="F15" s="11"/>
    </row>
    <row r="16" spans="1:13" ht="15.75">
      <c r="A16" s="11"/>
      <c r="B16" s="77"/>
      <c r="C16" s="11"/>
      <c r="D16" s="77"/>
      <c r="E16" s="77"/>
      <c r="F16" s="11"/>
    </row>
    <row r="18" spans="2:2">
      <c r="B18" s="73"/>
    </row>
    <row r="19" spans="2:2" ht="15.75">
      <c r="B19" s="75"/>
    </row>
    <row r="20" spans="2:2" ht="15.75">
      <c r="B20" s="76"/>
    </row>
    <row r="21" spans="2:2" ht="15.75">
      <c r="B21" s="75"/>
    </row>
    <row r="22" spans="2:2" ht="15.75">
      <c r="B22" s="77"/>
    </row>
  </sheetData>
  <mergeCells count="11">
    <mergeCell ref="A1:I2"/>
    <mergeCell ref="F3:G3"/>
    <mergeCell ref="H5:I5"/>
    <mergeCell ref="A6:F6"/>
    <mergeCell ref="A7:F7"/>
    <mergeCell ref="A3:A4"/>
    <mergeCell ref="B3:B4"/>
    <mergeCell ref="C3:C4"/>
    <mergeCell ref="D3:D4"/>
    <mergeCell ref="E3:E4"/>
    <mergeCell ref="H3:I4"/>
  </mergeCells>
  <pageMargins left="0.511811024" right="0.511811024" top="0.78740157499999996" bottom="0.78740157499999996" header="0.31496062000000002" footer="0.31496062000000002"/>
  <pageSetup paperSize="9" scale="77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H5" sqref="H5:I5"/>
    </sheetView>
  </sheetViews>
  <sheetFormatPr defaultColWidth="9.140625" defaultRowHeight="15"/>
  <cols>
    <col min="1" max="1" width="7.140625" customWidth="1"/>
    <col min="2" max="2" width="16.28515625" customWidth="1"/>
    <col min="4" max="4" width="6.85546875" customWidth="1"/>
    <col min="5" max="5" width="7.7109375" customWidth="1"/>
    <col min="6" max="6" width="10.5703125" customWidth="1"/>
    <col min="7" max="7" width="11.140625" customWidth="1"/>
    <col min="8" max="8" width="5.85546875" customWidth="1"/>
    <col min="9" max="9" width="3.28515625" customWidth="1"/>
  </cols>
  <sheetData>
    <row r="1" spans="1:9">
      <c r="A1" s="168" t="s">
        <v>173</v>
      </c>
      <c r="B1" s="169"/>
      <c r="C1" s="169"/>
      <c r="D1" s="169"/>
      <c r="E1" s="169"/>
      <c r="F1" s="169"/>
      <c r="G1" s="169"/>
      <c r="H1" s="169"/>
      <c r="I1" s="170"/>
    </row>
    <row r="2" spans="1:9">
      <c r="A2" s="171"/>
      <c r="B2" s="172"/>
      <c r="C2" s="172"/>
      <c r="D2" s="172"/>
      <c r="E2" s="172"/>
      <c r="F2" s="172"/>
      <c r="G2" s="172"/>
      <c r="H2" s="172"/>
      <c r="I2" s="173"/>
    </row>
    <row r="3" spans="1:9">
      <c r="A3" s="159" t="s">
        <v>160</v>
      </c>
      <c r="B3" s="159" t="s">
        <v>161</v>
      </c>
      <c r="C3" s="159" t="s">
        <v>162</v>
      </c>
      <c r="D3" s="159" t="s">
        <v>163</v>
      </c>
      <c r="E3" s="159" t="s">
        <v>164</v>
      </c>
      <c r="F3" s="159" t="s">
        <v>165</v>
      </c>
      <c r="G3" s="159"/>
      <c r="H3" s="164" t="s">
        <v>166</v>
      </c>
      <c r="I3" s="165"/>
    </row>
    <row r="4" spans="1:9">
      <c r="A4" s="163"/>
      <c r="B4" s="163"/>
      <c r="C4" s="163"/>
      <c r="D4" s="163"/>
      <c r="E4" s="163"/>
      <c r="F4" s="66" t="s">
        <v>167</v>
      </c>
      <c r="G4" s="66" t="s">
        <v>168</v>
      </c>
      <c r="H4" s="166"/>
      <c r="I4" s="167"/>
    </row>
    <row r="5" spans="1:9" ht="42.95" customHeight="1">
      <c r="A5" s="67">
        <v>1</v>
      </c>
      <c r="B5" s="68" t="s">
        <v>174</v>
      </c>
      <c r="C5" s="68" t="s">
        <v>170</v>
      </c>
      <c r="D5" s="67">
        <v>2</v>
      </c>
      <c r="E5" s="69">
        <v>120</v>
      </c>
      <c r="F5" s="70">
        <f>TRUNC(382.6814,2)</f>
        <v>382.68</v>
      </c>
      <c r="G5" s="71">
        <f>TRUNC(F5*D5,2)</f>
        <v>765.36</v>
      </c>
      <c r="H5" s="160">
        <f>TRUNC(((G5*0.9)/(12*10))/3,2)</f>
        <v>1.91</v>
      </c>
      <c r="I5" s="161"/>
    </row>
    <row r="6" spans="1:9">
      <c r="A6" s="162" t="s">
        <v>171</v>
      </c>
      <c r="B6" s="162"/>
      <c r="C6" s="162"/>
      <c r="D6" s="162"/>
      <c r="E6" s="162"/>
      <c r="F6" s="162"/>
      <c r="G6" s="72">
        <f>SUM(H5:I5)</f>
        <v>1.91</v>
      </c>
    </row>
    <row r="7" spans="1:9">
      <c r="A7" s="162" t="s">
        <v>172</v>
      </c>
      <c r="B7" s="162"/>
      <c r="C7" s="162"/>
      <c r="D7" s="162"/>
      <c r="E7" s="162"/>
      <c r="F7" s="162"/>
      <c r="G7" s="72">
        <f>G6</f>
        <v>1.91</v>
      </c>
    </row>
  </sheetData>
  <mergeCells count="11">
    <mergeCell ref="A1:I2"/>
    <mergeCell ref="H3:I4"/>
    <mergeCell ref="F3:G3"/>
    <mergeCell ref="H5:I5"/>
    <mergeCell ref="A6:F6"/>
    <mergeCell ref="A7:F7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workbookViewId="0">
      <selection activeCell="D17" sqref="D17"/>
    </sheetView>
  </sheetViews>
  <sheetFormatPr defaultColWidth="9.140625" defaultRowHeight="15"/>
  <cols>
    <col min="1" max="1" width="7.42578125" customWidth="1"/>
    <col min="2" max="2" width="28.140625" customWidth="1"/>
    <col min="3" max="3" width="17.140625" customWidth="1"/>
    <col min="4" max="4" width="22.42578125" customWidth="1"/>
    <col min="5" max="5" width="17.7109375" customWidth="1"/>
    <col min="6" max="6" width="17.28515625" customWidth="1"/>
    <col min="7" max="7" width="15.28515625" customWidth="1"/>
    <col min="8" max="8" width="17" customWidth="1"/>
    <col min="9" max="9" width="16.42578125" customWidth="1"/>
  </cols>
  <sheetData>
    <row r="1" spans="1:9" ht="44.1" customHeight="1"/>
    <row r="2" spans="1:9" ht="36" customHeight="1">
      <c r="B2" s="174" t="s">
        <v>175</v>
      </c>
      <c r="C2" s="175"/>
      <c r="D2" s="175"/>
      <c r="E2" s="175"/>
      <c r="F2" s="175"/>
      <c r="G2" s="176"/>
    </row>
    <row r="3" spans="1:9" ht="25.5">
      <c r="B3" s="180" t="s">
        <v>176</v>
      </c>
      <c r="C3" s="181" t="s">
        <v>177</v>
      </c>
      <c r="D3" s="29" t="s">
        <v>178</v>
      </c>
      <c r="E3" s="182" t="s">
        <v>179</v>
      </c>
      <c r="F3" s="182" t="s">
        <v>180</v>
      </c>
      <c r="G3" s="183" t="s">
        <v>181</v>
      </c>
    </row>
    <row r="4" spans="1:9">
      <c r="B4" s="180"/>
      <c r="C4" s="181"/>
      <c r="D4" s="30">
        <v>0.1</v>
      </c>
      <c r="E4" s="182"/>
      <c r="F4" s="182"/>
      <c r="G4" s="183"/>
    </row>
    <row r="5" spans="1:9">
      <c r="B5" s="31" t="s">
        <v>182</v>
      </c>
      <c r="C5" s="32">
        <v>17</v>
      </c>
      <c r="D5" s="32">
        <f>C5*0.9</f>
        <v>15.3</v>
      </c>
      <c r="E5" s="33">
        <v>250</v>
      </c>
      <c r="F5" s="32">
        <f>D5*250</f>
        <v>3825</v>
      </c>
      <c r="G5" s="34">
        <f>TRUNC(F5/12,2)</f>
        <v>318.75</v>
      </c>
    </row>
    <row r="6" spans="1:9">
      <c r="A6" s="35"/>
      <c r="B6" s="31" t="s">
        <v>183</v>
      </c>
      <c r="C6" s="32">
        <v>17</v>
      </c>
      <c r="D6" s="32">
        <f>C6*0.9</f>
        <v>15.3</v>
      </c>
      <c r="E6" s="33">
        <v>250</v>
      </c>
      <c r="F6" s="32">
        <f>D6*250</f>
        <v>3825</v>
      </c>
      <c r="G6" s="34">
        <f>TRUNC(F6/12,2)</f>
        <v>318.75</v>
      </c>
    </row>
    <row r="7" spans="1:9">
      <c r="A7" s="35"/>
      <c r="B7" s="31" t="s">
        <v>184</v>
      </c>
      <c r="C7" s="32">
        <v>17</v>
      </c>
      <c r="D7" s="32">
        <f>C7*0.9</f>
        <v>15.3</v>
      </c>
      <c r="E7" s="33">
        <v>250</v>
      </c>
      <c r="F7" s="32">
        <f>D7*250</f>
        <v>3825</v>
      </c>
      <c r="G7" s="34">
        <f>TRUNC(F7/12,2)</f>
        <v>318.75</v>
      </c>
    </row>
    <row r="8" spans="1:9">
      <c r="A8" s="35"/>
      <c r="B8" s="36" t="s">
        <v>185</v>
      </c>
      <c r="C8" s="37">
        <v>25</v>
      </c>
      <c r="D8" s="37">
        <f>C8*0.9</f>
        <v>22.5</v>
      </c>
      <c r="E8" s="38">
        <v>250</v>
      </c>
      <c r="F8" s="37">
        <f>D8*250</f>
        <v>5625</v>
      </c>
      <c r="G8" s="39">
        <f>TRUNC(F8/12,2)</f>
        <v>468.75</v>
      </c>
    </row>
    <row r="12" spans="1:9" ht="18" customHeight="1">
      <c r="A12" s="40"/>
      <c r="B12" s="177" t="s">
        <v>186</v>
      </c>
      <c r="C12" s="178"/>
      <c r="D12" s="178"/>
      <c r="E12" s="178"/>
      <c r="F12" s="178"/>
      <c r="G12" s="178"/>
      <c r="H12" s="178"/>
      <c r="I12" s="179"/>
    </row>
    <row r="13" spans="1:9" ht="50.1" customHeight="1">
      <c r="B13" s="41" t="s">
        <v>176</v>
      </c>
      <c r="C13" s="14" t="s">
        <v>187</v>
      </c>
      <c r="D13" s="14" t="s">
        <v>188</v>
      </c>
      <c r="E13" s="14" t="s">
        <v>189</v>
      </c>
      <c r="F13" s="42" t="s">
        <v>190</v>
      </c>
      <c r="G13" s="14" t="s">
        <v>191</v>
      </c>
      <c r="H13" s="42" t="s">
        <v>192</v>
      </c>
      <c r="I13" s="59" t="s">
        <v>193</v>
      </c>
    </row>
    <row r="14" spans="1:9">
      <c r="B14" s="31" t="s">
        <v>182</v>
      </c>
      <c r="C14" s="43">
        <f>'Almoxarife 44h'!C30</f>
        <v>1647.73</v>
      </c>
      <c r="D14" s="44">
        <f>C14*12</f>
        <v>19772.760000000002</v>
      </c>
      <c r="E14" s="45">
        <v>250</v>
      </c>
      <c r="F14" s="46">
        <f>D14/E14</f>
        <v>79.091040000000007</v>
      </c>
      <c r="G14" s="46">
        <f>F14*0.06</f>
        <v>4.7454624000000001</v>
      </c>
      <c r="H14" s="14">
        <v>250</v>
      </c>
      <c r="I14" s="60">
        <f>G14*E14</f>
        <v>1186.3656000000001</v>
      </c>
    </row>
    <row r="15" spans="1:9">
      <c r="B15" s="31" t="s">
        <v>183</v>
      </c>
      <c r="C15" s="47">
        <f>'Copeiro 44h'!C30</f>
        <v>1450</v>
      </c>
      <c r="D15" s="48">
        <f>C15*12</f>
        <v>17400</v>
      </c>
      <c r="E15" s="45">
        <v>250</v>
      </c>
      <c r="F15" s="46">
        <f>D15/E15</f>
        <v>69.599999999999994</v>
      </c>
      <c r="G15" s="46">
        <f>F15*0.06</f>
        <v>4.1759999999999993</v>
      </c>
      <c r="H15" s="14">
        <v>250</v>
      </c>
      <c r="I15" s="61">
        <f>G15*E15</f>
        <v>1043.9999999999998</v>
      </c>
    </row>
    <row r="16" spans="1:9">
      <c r="B16" s="31" t="s">
        <v>184</v>
      </c>
      <c r="C16" s="43">
        <f>'Operador de Som 44h'!C30</f>
        <v>1579.08</v>
      </c>
      <c r="D16" s="44">
        <f>C16*12</f>
        <v>18948.96</v>
      </c>
      <c r="E16" s="45">
        <v>250</v>
      </c>
      <c r="F16" s="46">
        <f>D16/E16</f>
        <v>75.795839999999998</v>
      </c>
      <c r="G16" s="46">
        <f>F16*0.06</f>
        <v>4.5477504</v>
      </c>
      <c r="H16" s="14">
        <v>250</v>
      </c>
      <c r="I16" s="60">
        <f>G16*E16</f>
        <v>1136.9376</v>
      </c>
    </row>
    <row r="17" spans="2:9">
      <c r="B17" s="36" t="s">
        <v>185</v>
      </c>
      <c r="C17" s="49">
        <f>'Carregador 44h'!C30</f>
        <v>1482.27</v>
      </c>
      <c r="D17" s="50">
        <f>C17*12</f>
        <v>17787.239999999998</v>
      </c>
      <c r="E17" s="51">
        <v>250</v>
      </c>
      <c r="F17" s="52">
        <f>D17/E17</f>
        <v>71.148959999999988</v>
      </c>
      <c r="G17" s="52">
        <f>F17*0.06</f>
        <v>4.2689375999999992</v>
      </c>
      <c r="H17" s="53">
        <v>250</v>
      </c>
      <c r="I17" s="62">
        <f>G17*E17</f>
        <v>1067.2343999999998</v>
      </c>
    </row>
    <row r="22" spans="2:9" ht="45.95" customHeight="1">
      <c r="B22" s="54" t="s">
        <v>176</v>
      </c>
      <c r="C22" s="55" t="s">
        <v>194</v>
      </c>
      <c r="D22" s="55" t="s">
        <v>195</v>
      </c>
      <c r="E22" s="56" t="s">
        <v>196</v>
      </c>
      <c r="F22" s="56" t="s">
        <v>197</v>
      </c>
      <c r="G22" s="55" t="s">
        <v>198</v>
      </c>
      <c r="H22" s="55" t="s">
        <v>199</v>
      </c>
      <c r="I22" s="63" t="s">
        <v>200</v>
      </c>
    </row>
    <row r="23" spans="2:9">
      <c r="B23" s="31" t="s">
        <v>182</v>
      </c>
      <c r="C23" s="14">
        <v>4.5</v>
      </c>
      <c r="D23" s="14">
        <v>2</v>
      </c>
      <c r="E23" s="14">
        <v>250</v>
      </c>
      <c r="F23" s="14">
        <f>C23*D23*E23</f>
        <v>2250</v>
      </c>
      <c r="G23" s="48">
        <f>I14</f>
        <v>1186.3656000000001</v>
      </c>
      <c r="H23" s="48">
        <f>F23-G23</f>
        <v>1063.6343999999999</v>
      </c>
      <c r="I23" s="64">
        <f>TRUNC(H23/12,2)</f>
        <v>88.63</v>
      </c>
    </row>
    <row r="24" spans="2:9">
      <c r="B24" s="31" t="s">
        <v>183</v>
      </c>
      <c r="C24" s="14">
        <v>4.5</v>
      </c>
      <c r="D24" s="14">
        <v>2</v>
      </c>
      <c r="E24" s="14">
        <v>250</v>
      </c>
      <c r="F24" s="14">
        <f>C24*D24*E24</f>
        <v>2250</v>
      </c>
      <c r="G24" s="44">
        <f>I15</f>
        <v>1043.9999999999998</v>
      </c>
      <c r="H24" s="14">
        <f>F24-G24</f>
        <v>1206.0000000000002</v>
      </c>
      <c r="I24" s="64">
        <f>H24/12</f>
        <v>100.50000000000001</v>
      </c>
    </row>
    <row r="25" spans="2:9">
      <c r="B25" s="31" t="s">
        <v>184</v>
      </c>
      <c r="C25" s="14">
        <v>4.5</v>
      </c>
      <c r="D25" s="14">
        <v>2</v>
      </c>
      <c r="E25" s="14">
        <v>250</v>
      </c>
      <c r="F25" s="14">
        <f>C25*D25*E25</f>
        <v>2250</v>
      </c>
      <c r="G25" s="48">
        <f>I16</f>
        <v>1136.9376</v>
      </c>
      <c r="H25" s="48">
        <f>F25-G25</f>
        <v>1113.0624</v>
      </c>
      <c r="I25" s="64">
        <f>TRUNC(H25/12,2)</f>
        <v>92.75</v>
      </c>
    </row>
    <row r="26" spans="2:9">
      <c r="B26" s="36" t="s">
        <v>185</v>
      </c>
      <c r="C26" s="53">
        <v>4.5</v>
      </c>
      <c r="D26" s="53">
        <v>2</v>
      </c>
      <c r="E26" s="53">
        <v>250</v>
      </c>
      <c r="F26" s="53">
        <f>C26*D26*E26</f>
        <v>2250</v>
      </c>
      <c r="G26" s="57">
        <f>I17</f>
        <v>1067.2343999999998</v>
      </c>
      <c r="H26" s="57">
        <f>F26-G26</f>
        <v>1182.7656000000002</v>
      </c>
      <c r="I26" s="65">
        <f>TRUNC(H26/12,2)</f>
        <v>98.56</v>
      </c>
    </row>
    <row r="27" spans="2:9">
      <c r="B27" s="58"/>
      <c r="C27" s="58"/>
      <c r="D27" s="58"/>
      <c r="E27" s="58"/>
      <c r="F27" s="58"/>
      <c r="G27" s="58"/>
      <c r="H27" s="58"/>
      <c r="I27" s="58"/>
    </row>
  </sheetData>
  <mergeCells count="7">
    <mergeCell ref="B2:G2"/>
    <mergeCell ref="B12:I12"/>
    <mergeCell ref="B3:B4"/>
    <mergeCell ref="C3:C4"/>
    <mergeCell ref="E3:E4"/>
    <mergeCell ref="F3:F4"/>
    <mergeCell ref="G3:G4"/>
  </mergeCells>
  <pageMargins left="0.75138888888888899" right="0.75138888888888899" top="1" bottom="1" header="0.5" footer="0.5"/>
  <pageSetup paperSize="9" scale="54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3:F16"/>
  <sheetViews>
    <sheetView workbookViewId="0">
      <selection sqref="A1:H23"/>
    </sheetView>
  </sheetViews>
  <sheetFormatPr defaultColWidth="9.140625" defaultRowHeight="15"/>
  <cols>
    <col min="3" max="3" width="13.85546875" customWidth="1"/>
    <col min="5" max="5" width="14.42578125" customWidth="1"/>
  </cols>
  <sheetData>
    <row r="3" spans="1:6" ht="50.1" customHeight="1">
      <c r="B3" s="23" t="s">
        <v>201</v>
      </c>
      <c r="C3" s="24" t="s">
        <v>202</v>
      </c>
      <c r="D3" s="24" t="s">
        <v>203</v>
      </c>
      <c r="E3" s="24" t="s">
        <v>204</v>
      </c>
      <c r="F3" s="25" t="s">
        <v>205</v>
      </c>
    </row>
    <row r="4" spans="1:6">
      <c r="A4">
        <v>1</v>
      </c>
      <c r="B4" s="26">
        <v>45566</v>
      </c>
      <c r="C4" s="14">
        <v>22</v>
      </c>
      <c r="D4" s="14">
        <v>4</v>
      </c>
      <c r="E4" s="14">
        <v>5</v>
      </c>
      <c r="F4" s="27">
        <f>SUM(C4:E4)</f>
        <v>31</v>
      </c>
    </row>
    <row r="5" spans="1:6">
      <c r="A5">
        <v>2</v>
      </c>
      <c r="B5" s="26">
        <v>45597</v>
      </c>
      <c r="C5" s="14">
        <v>19</v>
      </c>
      <c r="D5" s="14">
        <v>5</v>
      </c>
      <c r="E5" s="14">
        <v>6</v>
      </c>
      <c r="F5" s="27">
        <f t="shared" ref="F5:F15" si="0">SUM(C5:E5)</f>
        <v>30</v>
      </c>
    </row>
    <row r="6" spans="1:6">
      <c r="A6">
        <v>3</v>
      </c>
      <c r="B6" s="26" t="s">
        <v>206</v>
      </c>
      <c r="C6" s="14">
        <v>21</v>
      </c>
      <c r="D6" s="14">
        <v>4</v>
      </c>
      <c r="E6" s="14">
        <v>6</v>
      </c>
      <c r="F6" s="27">
        <f t="shared" si="0"/>
        <v>31</v>
      </c>
    </row>
    <row r="7" spans="1:6">
      <c r="A7">
        <v>4</v>
      </c>
      <c r="B7" s="26">
        <v>45658</v>
      </c>
      <c r="C7" s="14">
        <v>22</v>
      </c>
      <c r="D7" s="14">
        <v>4</v>
      </c>
      <c r="E7" s="14">
        <v>5</v>
      </c>
      <c r="F7" s="27">
        <f t="shared" si="0"/>
        <v>31</v>
      </c>
    </row>
    <row r="8" spans="1:6">
      <c r="A8">
        <v>5</v>
      </c>
      <c r="B8" s="26" t="s">
        <v>207</v>
      </c>
      <c r="C8" s="14">
        <v>20</v>
      </c>
      <c r="D8" s="14">
        <v>4</v>
      </c>
      <c r="E8" s="14">
        <v>4</v>
      </c>
      <c r="F8" s="27">
        <f t="shared" si="0"/>
        <v>28</v>
      </c>
    </row>
    <row r="9" spans="1:6">
      <c r="A9">
        <v>6</v>
      </c>
      <c r="B9" s="26">
        <v>45717</v>
      </c>
      <c r="C9" s="14">
        <v>19</v>
      </c>
      <c r="D9" s="14">
        <v>5</v>
      </c>
      <c r="E9" s="14">
        <v>7</v>
      </c>
      <c r="F9" s="27">
        <f t="shared" si="0"/>
        <v>31</v>
      </c>
    </row>
    <row r="10" spans="1:6">
      <c r="A10">
        <v>7</v>
      </c>
      <c r="B10" s="26" t="s">
        <v>208</v>
      </c>
      <c r="C10" s="14">
        <v>20</v>
      </c>
      <c r="D10" s="14">
        <v>4</v>
      </c>
      <c r="E10" s="14">
        <v>6</v>
      </c>
      <c r="F10" s="27">
        <f t="shared" si="0"/>
        <v>30</v>
      </c>
    </row>
    <row r="11" spans="1:6">
      <c r="A11">
        <v>8</v>
      </c>
      <c r="B11" s="26" t="s">
        <v>209</v>
      </c>
      <c r="C11" s="14">
        <v>21</v>
      </c>
      <c r="D11" s="14">
        <v>5</v>
      </c>
      <c r="E11" s="14">
        <v>5</v>
      </c>
      <c r="F11" s="27">
        <f t="shared" si="0"/>
        <v>31</v>
      </c>
    </row>
    <row r="12" spans="1:6">
      <c r="A12">
        <v>9</v>
      </c>
      <c r="B12" s="26">
        <v>45809</v>
      </c>
      <c r="C12" s="14">
        <v>20</v>
      </c>
      <c r="D12" s="14">
        <v>4</v>
      </c>
      <c r="E12" s="14">
        <v>6</v>
      </c>
      <c r="F12" s="27">
        <f t="shared" si="0"/>
        <v>30</v>
      </c>
    </row>
    <row r="13" spans="1:6">
      <c r="A13">
        <v>10</v>
      </c>
      <c r="B13" s="26">
        <v>45839</v>
      </c>
      <c r="C13" s="14">
        <v>23</v>
      </c>
      <c r="D13" s="14">
        <v>4</v>
      </c>
      <c r="E13" s="14">
        <v>4</v>
      </c>
      <c r="F13" s="27">
        <f t="shared" si="0"/>
        <v>31</v>
      </c>
    </row>
    <row r="14" spans="1:6">
      <c r="A14">
        <v>11</v>
      </c>
      <c r="B14" s="26" t="s">
        <v>210</v>
      </c>
      <c r="C14" s="14">
        <v>21</v>
      </c>
      <c r="D14" s="14">
        <v>5</v>
      </c>
      <c r="E14" s="14">
        <v>5</v>
      </c>
      <c r="F14" s="27">
        <f t="shared" si="0"/>
        <v>31</v>
      </c>
    </row>
    <row r="15" spans="1:6">
      <c r="A15">
        <v>12</v>
      </c>
      <c r="B15" s="23" t="s">
        <v>211</v>
      </c>
      <c r="C15" s="14">
        <v>22</v>
      </c>
      <c r="D15" s="14">
        <v>4</v>
      </c>
      <c r="E15" s="14">
        <v>4</v>
      </c>
      <c r="F15" s="27">
        <f t="shared" si="0"/>
        <v>30</v>
      </c>
    </row>
    <row r="16" spans="1:6">
      <c r="B16" s="23" t="s">
        <v>212</v>
      </c>
      <c r="C16" s="28">
        <f>SUM(C4:C15)</f>
        <v>250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44"/>
  <sheetViews>
    <sheetView workbookViewId="0">
      <selection sqref="A1:J47"/>
    </sheetView>
  </sheetViews>
  <sheetFormatPr defaultColWidth="9.140625" defaultRowHeight="15"/>
  <cols>
    <col min="3" max="3" width="34" customWidth="1"/>
    <col min="4" max="4" width="12.7109375" customWidth="1"/>
    <col min="5" max="5" width="13.7109375" customWidth="1"/>
    <col min="6" max="6" width="12.85546875" customWidth="1"/>
    <col min="7" max="7" width="14.140625" customWidth="1"/>
  </cols>
  <sheetData>
    <row r="3" spans="2:7">
      <c r="B3" s="184" t="s">
        <v>213</v>
      </c>
      <c r="C3" s="184"/>
      <c r="D3" s="184"/>
      <c r="E3" s="184"/>
      <c r="F3" s="184"/>
      <c r="G3" s="184"/>
    </row>
    <row r="4" spans="2:7" ht="33" customHeight="1">
      <c r="B4" s="12" t="s">
        <v>214</v>
      </c>
      <c r="C4" s="12" t="s">
        <v>215</v>
      </c>
      <c r="D4" s="13" t="s">
        <v>162</v>
      </c>
      <c r="E4" s="13" t="s">
        <v>216</v>
      </c>
      <c r="F4" s="13" t="s">
        <v>217</v>
      </c>
      <c r="G4" s="13" t="s">
        <v>218</v>
      </c>
    </row>
    <row r="5" spans="2:7" ht="32.1" customHeight="1">
      <c r="B5" s="14">
        <v>1</v>
      </c>
      <c r="C5" s="15" t="s">
        <v>219</v>
      </c>
      <c r="D5" s="16" t="s">
        <v>170</v>
      </c>
      <c r="E5" s="16">
        <v>4</v>
      </c>
      <c r="F5" s="17">
        <f>TRUNC(23.4688,2)</f>
        <v>23.46</v>
      </c>
      <c r="G5" s="18">
        <f t="shared" ref="G5:G9" si="0">E5*F5</f>
        <v>93.84</v>
      </c>
    </row>
    <row r="6" spans="2:7">
      <c r="B6" s="14">
        <v>2</v>
      </c>
      <c r="C6" s="19" t="s">
        <v>220</v>
      </c>
      <c r="D6" s="16" t="s">
        <v>170</v>
      </c>
      <c r="E6" s="16">
        <v>2</v>
      </c>
      <c r="F6" s="17">
        <f>TRUNC(37.7254,2)</f>
        <v>37.72</v>
      </c>
      <c r="G6" s="18">
        <f t="shared" si="0"/>
        <v>75.44</v>
      </c>
    </row>
    <row r="7" spans="2:7" ht="30.95" customHeight="1">
      <c r="B7" s="14">
        <v>3</v>
      </c>
      <c r="C7" s="15" t="s">
        <v>221</v>
      </c>
      <c r="D7" s="16" t="s">
        <v>222</v>
      </c>
      <c r="E7" s="16">
        <v>4</v>
      </c>
      <c r="F7" s="17">
        <v>7</v>
      </c>
      <c r="G7" s="18">
        <f t="shared" si="0"/>
        <v>28</v>
      </c>
    </row>
    <row r="8" spans="2:7">
      <c r="B8" s="14">
        <v>4</v>
      </c>
      <c r="C8" s="19" t="s">
        <v>223</v>
      </c>
      <c r="D8" s="16" t="s">
        <v>222</v>
      </c>
      <c r="E8" s="16">
        <v>1</v>
      </c>
      <c r="F8" s="17">
        <v>47.6</v>
      </c>
      <c r="G8" s="18">
        <f t="shared" si="0"/>
        <v>47.6</v>
      </c>
    </row>
    <row r="9" spans="2:7">
      <c r="B9" s="14">
        <v>5</v>
      </c>
      <c r="C9" s="19" t="s">
        <v>224</v>
      </c>
      <c r="D9" s="16" t="s">
        <v>170</v>
      </c>
      <c r="E9" s="16">
        <v>1</v>
      </c>
      <c r="F9" s="17">
        <f>TRUNC(58.9914,2)</f>
        <v>58.99</v>
      </c>
      <c r="G9" s="18">
        <f t="shared" si="0"/>
        <v>58.99</v>
      </c>
    </row>
    <row r="10" spans="2:7">
      <c r="B10" s="185" t="s">
        <v>212</v>
      </c>
      <c r="C10" s="186"/>
      <c r="D10" s="20"/>
      <c r="E10" s="20"/>
      <c r="F10" s="20"/>
      <c r="G10" s="21">
        <f>SUM(G5:G9)</f>
        <v>303.87</v>
      </c>
    </row>
    <row r="13" spans="2:7">
      <c r="B13" s="184" t="s">
        <v>225</v>
      </c>
      <c r="C13" s="184"/>
      <c r="D13" s="184"/>
      <c r="E13" s="184"/>
      <c r="F13" s="184"/>
      <c r="G13" s="184"/>
    </row>
    <row r="14" spans="2:7" ht="36" customHeight="1">
      <c r="B14" s="12" t="s">
        <v>214</v>
      </c>
      <c r="C14" s="12" t="s">
        <v>215</v>
      </c>
      <c r="D14" s="13" t="s">
        <v>162</v>
      </c>
      <c r="E14" s="13" t="s">
        <v>216</v>
      </c>
      <c r="F14" s="13" t="s">
        <v>217</v>
      </c>
      <c r="G14" s="13" t="s">
        <v>218</v>
      </c>
    </row>
    <row r="15" spans="2:7" ht="28.5">
      <c r="B15" s="14">
        <v>1</v>
      </c>
      <c r="C15" s="22" t="s">
        <v>219</v>
      </c>
      <c r="D15" s="16" t="s">
        <v>170</v>
      </c>
      <c r="E15" s="16">
        <v>4</v>
      </c>
      <c r="F15" s="17">
        <f>TRUNC(23.4688,2)</f>
        <v>23.46</v>
      </c>
      <c r="G15" s="18">
        <f t="shared" ref="G15:G19" si="1">E15*F15</f>
        <v>93.84</v>
      </c>
    </row>
    <row r="16" spans="2:7">
      <c r="B16" s="14">
        <v>2</v>
      </c>
      <c r="C16" s="22" t="s">
        <v>220</v>
      </c>
      <c r="D16" s="16" t="s">
        <v>170</v>
      </c>
      <c r="E16" s="16">
        <v>2</v>
      </c>
      <c r="F16" s="17">
        <f>TRUNC(37.7254,2)</f>
        <v>37.72</v>
      </c>
      <c r="G16" s="18">
        <f t="shared" si="1"/>
        <v>75.44</v>
      </c>
    </row>
    <row r="17" spans="2:7" ht="28.5">
      <c r="B17" s="14">
        <v>3</v>
      </c>
      <c r="C17" s="22" t="s">
        <v>221</v>
      </c>
      <c r="D17" s="16" t="s">
        <v>222</v>
      </c>
      <c r="E17" s="16">
        <v>4</v>
      </c>
      <c r="F17" s="17">
        <v>7</v>
      </c>
      <c r="G17" s="18">
        <f t="shared" si="1"/>
        <v>28</v>
      </c>
    </row>
    <row r="18" spans="2:7" ht="27.95" customHeight="1">
      <c r="B18" s="14">
        <v>4</v>
      </c>
      <c r="C18" s="15" t="s">
        <v>226</v>
      </c>
      <c r="D18" s="16" t="s">
        <v>222</v>
      </c>
      <c r="E18" s="16">
        <v>1</v>
      </c>
      <c r="F18" s="17">
        <v>47.6</v>
      </c>
      <c r="G18" s="18">
        <f t="shared" si="1"/>
        <v>47.6</v>
      </c>
    </row>
    <row r="19" spans="2:7">
      <c r="B19" s="14">
        <v>5</v>
      </c>
      <c r="C19" s="19" t="s">
        <v>224</v>
      </c>
      <c r="D19" s="16" t="s">
        <v>170</v>
      </c>
      <c r="E19" s="16">
        <v>1</v>
      </c>
      <c r="F19" s="17">
        <f>TRUNC(58.9914,2)</f>
        <v>58.99</v>
      </c>
      <c r="G19" s="18">
        <f t="shared" si="1"/>
        <v>58.99</v>
      </c>
    </row>
    <row r="20" spans="2:7">
      <c r="B20" s="185" t="s">
        <v>53</v>
      </c>
      <c r="C20" s="186"/>
      <c r="D20" s="20"/>
      <c r="E20" s="20"/>
      <c r="F20" s="20"/>
      <c r="G20" s="21">
        <f>SUM(G15:G19)</f>
        <v>303.87</v>
      </c>
    </row>
    <row r="23" spans="2:7">
      <c r="B23" s="184" t="s">
        <v>227</v>
      </c>
      <c r="C23" s="184"/>
      <c r="D23" s="184"/>
      <c r="E23" s="184"/>
      <c r="F23" s="184"/>
      <c r="G23" s="184"/>
    </row>
    <row r="24" spans="2:7" ht="36.950000000000003" customHeight="1">
      <c r="B24" s="12" t="s">
        <v>214</v>
      </c>
      <c r="C24" s="12" t="s">
        <v>215</v>
      </c>
      <c r="D24" s="13" t="s">
        <v>162</v>
      </c>
      <c r="E24" s="13" t="s">
        <v>216</v>
      </c>
      <c r="F24" s="13" t="s">
        <v>217</v>
      </c>
      <c r="G24" s="13" t="s">
        <v>218</v>
      </c>
    </row>
    <row r="25" spans="2:7" ht="28.5">
      <c r="B25" s="14">
        <v>1</v>
      </c>
      <c r="C25" s="22" t="s">
        <v>219</v>
      </c>
      <c r="D25" s="16" t="s">
        <v>170</v>
      </c>
      <c r="E25" s="16">
        <v>4</v>
      </c>
      <c r="F25" s="17">
        <f>TRUNC(23.4688,2)</f>
        <v>23.46</v>
      </c>
      <c r="G25" s="18">
        <f t="shared" ref="G25:G33" si="2">E25*F25</f>
        <v>93.84</v>
      </c>
    </row>
    <row r="26" spans="2:7">
      <c r="B26" s="14">
        <v>2</v>
      </c>
      <c r="C26" s="22" t="s">
        <v>220</v>
      </c>
      <c r="D26" s="16" t="s">
        <v>170</v>
      </c>
      <c r="E26" s="16">
        <v>2</v>
      </c>
      <c r="F26" s="17">
        <f>TRUNC(37.7254,2)</f>
        <v>37.72</v>
      </c>
      <c r="G26" s="18">
        <f t="shared" si="2"/>
        <v>75.44</v>
      </c>
    </row>
    <row r="27" spans="2:7" ht="28.5">
      <c r="B27" s="14">
        <v>3</v>
      </c>
      <c r="C27" s="22" t="s">
        <v>221</v>
      </c>
      <c r="D27" s="16" t="s">
        <v>222</v>
      </c>
      <c r="E27" s="16">
        <v>4</v>
      </c>
      <c r="F27" s="17">
        <v>7</v>
      </c>
      <c r="G27" s="18">
        <f t="shared" si="2"/>
        <v>28</v>
      </c>
    </row>
    <row r="28" spans="2:7" ht="28.5">
      <c r="B28" s="14">
        <v>4</v>
      </c>
      <c r="C28" s="15" t="s">
        <v>226</v>
      </c>
      <c r="D28" s="16" t="s">
        <v>222</v>
      </c>
      <c r="E28" s="16">
        <v>1</v>
      </c>
      <c r="F28" s="17">
        <v>47.6</v>
      </c>
      <c r="G28" s="18">
        <f t="shared" si="2"/>
        <v>47.6</v>
      </c>
    </row>
    <row r="29" spans="2:7">
      <c r="B29" s="14">
        <v>5</v>
      </c>
      <c r="C29" s="22" t="s">
        <v>224</v>
      </c>
      <c r="D29" s="16" t="s">
        <v>170</v>
      </c>
      <c r="E29" s="16">
        <v>1</v>
      </c>
      <c r="F29" s="17">
        <v>4.0999999999999996</v>
      </c>
      <c r="G29" s="17">
        <f t="shared" si="2"/>
        <v>4.0999999999999996</v>
      </c>
    </row>
    <row r="30" spans="2:7">
      <c r="B30" s="14">
        <v>6</v>
      </c>
      <c r="C30" s="22" t="s">
        <v>228</v>
      </c>
      <c r="D30" s="16" t="s">
        <v>170</v>
      </c>
      <c r="E30" s="16">
        <v>1</v>
      </c>
      <c r="F30" s="17">
        <f>TRUNC(58.9914,2)</f>
        <v>58.99</v>
      </c>
      <c r="G30" s="18">
        <f t="shared" si="2"/>
        <v>58.99</v>
      </c>
    </row>
    <row r="31" spans="2:7" ht="27" customHeight="1">
      <c r="B31" s="14">
        <v>7</v>
      </c>
      <c r="C31" s="22" t="s">
        <v>229</v>
      </c>
      <c r="D31" s="16" t="s">
        <v>222</v>
      </c>
      <c r="E31" s="16">
        <v>2</v>
      </c>
      <c r="F31" s="17">
        <v>5.64</v>
      </c>
      <c r="G31" s="17">
        <f t="shared" si="2"/>
        <v>11.28</v>
      </c>
    </row>
    <row r="32" spans="2:7" ht="27" customHeight="1">
      <c r="B32" s="14">
        <v>8</v>
      </c>
      <c r="C32" s="22" t="s">
        <v>230</v>
      </c>
      <c r="D32" s="16" t="s">
        <v>170</v>
      </c>
      <c r="E32" s="16">
        <v>1</v>
      </c>
      <c r="F32" s="17">
        <f>TRUNC(40.3367,2)</f>
        <v>40.33</v>
      </c>
      <c r="G32" s="18">
        <f t="shared" si="2"/>
        <v>40.33</v>
      </c>
    </row>
    <row r="33" spans="2:7" ht="30.95" customHeight="1">
      <c r="B33" s="14">
        <v>9</v>
      </c>
      <c r="C33" s="15" t="s">
        <v>231</v>
      </c>
      <c r="D33" s="16" t="s">
        <v>170</v>
      </c>
      <c r="E33" s="16">
        <v>1</v>
      </c>
      <c r="F33" s="17">
        <f>TRUNC(40.8813,2)</f>
        <v>40.880000000000003</v>
      </c>
      <c r="G33" s="18">
        <f t="shared" si="2"/>
        <v>40.880000000000003</v>
      </c>
    </row>
    <row r="34" spans="2:7">
      <c r="B34" s="185" t="s">
        <v>53</v>
      </c>
      <c r="C34" s="186"/>
      <c r="D34" s="20"/>
      <c r="E34" s="20"/>
      <c r="F34" s="20"/>
      <c r="G34" s="21">
        <f>SUM(G25:G33)</f>
        <v>400.46</v>
      </c>
    </row>
    <row r="36" spans="2:7">
      <c r="B36" s="184" t="s">
        <v>232</v>
      </c>
      <c r="C36" s="184"/>
      <c r="D36" s="184"/>
      <c r="E36" s="184"/>
      <c r="F36" s="184"/>
      <c r="G36" s="184"/>
    </row>
    <row r="37" spans="2:7" ht="33" customHeight="1">
      <c r="B37" s="12" t="s">
        <v>214</v>
      </c>
      <c r="C37" s="12" t="s">
        <v>215</v>
      </c>
      <c r="D37" s="13" t="s">
        <v>162</v>
      </c>
      <c r="E37" s="13" t="s">
        <v>216</v>
      </c>
      <c r="F37" s="13" t="s">
        <v>217</v>
      </c>
      <c r="G37" s="13" t="s">
        <v>218</v>
      </c>
    </row>
    <row r="38" spans="2:7" ht="28.5">
      <c r="B38" s="14">
        <v>1</v>
      </c>
      <c r="C38" s="22" t="s">
        <v>233</v>
      </c>
      <c r="D38" s="16" t="s">
        <v>170</v>
      </c>
      <c r="E38" s="16">
        <v>4</v>
      </c>
      <c r="F38" s="17">
        <v>34.5</v>
      </c>
      <c r="G38" s="18">
        <f t="shared" ref="G38:G43" si="3">E38*F38</f>
        <v>138</v>
      </c>
    </row>
    <row r="39" spans="2:7" ht="28.5">
      <c r="B39" s="14">
        <v>2</v>
      </c>
      <c r="C39" s="22" t="s">
        <v>234</v>
      </c>
      <c r="D39" s="16" t="s">
        <v>170</v>
      </c>
      <c r="E39" s="16">
        <v>2</v>
      </c>
      <c r="F39" s="17">
        <f>TRUNC(58.8362,2)</f>
        <v>58.83</v>
      </c>
      <c r="G39" s="18">
        <f t="shared" si="3"/>
        <v>117.66</v>
      </c>
    </row>
    <row r="40" spans="2:7">
      <c r="B40" s="14">
        <v>3</v>
      </c>
      <c r="C40" s="22" t="s">
        <v>235</v>
      </c>
      <c r="D40" s="16" t="s">
        <v>170</v>
      </c>
      <c r="E40" s="16">
        <v>2</v>
      </c>
      <c r="F40" s="17">
        <v>10.95</v>
      </c>
      <c r="G40" s="18">
        <f t="shared" si="3"/>
        <v>21.9</v>
      </c>
    </row>
    <row r="41" spans="2:7">
      <c r="B41" s="14">
        <v>4</v>
      </c>
      <c r="C41" s="15" t="s">
        <v>236</v>
      </c>
      <c r="D41" s="16" t="s">
        <v>170</v>
      </c>
      <c r="E41" s="16">
        <v>2</v>
      </c>
      <c r="F41" s="17">
        <f>TRUNC(69.878,2)</f>
        <v>69.87</v>
      </c>
      <c r="G41" s="18">
        <f t="shared" si="3"/>
        <v>139.74</v>
      </c>
    </row>
    <row r="42" spans="2:7" ht="57">
      <c r="B42" s="14">
        <v>5</v>
      </c>
      <c r="C42" s="15" t="s">
        <v>237</v>
      </c>
      <c r="D42" s="16" t="s">
        <v>222</v>
      </c>
      <c r="E42" s="16">
        <v>1</v>
      </c>
      <c r="F42" s="17">
        <f>TRUNC(93.6192,2)</f>
        <v>93.61</v>
      </c>
      <c r="G42" s="18">
        <f t="shared" si="3"/>
        <v>93.61</v>
      </c>
    </row>
    <row r="43" spans="2:7" ht="32.1" customHeight="1">
      <c r="B43" s="14">
        <v>6</v>
      </c>
      <c r="C43" s="15" t="s">
        <v>147</v>
      </c>
      <c r="D43" s="16" t="s">
        <v>222</v>
      </c>
      <c r="E43" s="16">
        <v>4</v>
      </c>
      <c r="F43" s="17">
        <v>4.32</v>
      </c>
      <c r="G43" s="18">
        <f t="shared" si="3"/>
        <v>17.28</v>
      </c>
    </row>
    <row r="44" spans="2:7">
      <c r="B44" s="185" t="s">
        <v>53</v>
      </c>
      <c r="C44" s="186"/>
      <c r="D44" s="16"/>
      <c r="E44" s="16"/>
      <c r="F44" s="16"/>
      <c r="G44" s="18">
        <f>SUM(G38:G43)</f>
        <v>528.19000000000005</v>
      </c>
    </row>
  </sheetData>
  <mergeCells count="8">
    <mergeCell ref="B34:C34"/>
    <mergeCell ref="B36:G36"/>
    <mergeCell ref="B44:C44"/>
    <mergeCell ref="B3:G3"/>
    <mergeCell ref="B10:C10"/>
    <mergeCell ref="B13:G13"/>
    <mergeCell ref="B20:C20"/>
    <mergeCell ref="B23:G23"/>
  </mergeCells>
  <pageMargins left="0.75138888888888899" right="0.75138888888888899" top="1" bottom="1" header="0.5" footer="0.5"/>
  <pageSetup paperSize="9" scale="7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5</vt:i4>
      </vt:variant>
    </vt:vector>
  </HeadingPairs>
  <TitlesOfParts>
    <vt:vector size="15" baseType="lpstr">
      <vt:lpstr>Almoxarife 44h</vt:lpstr>
      <vt:lpstr>Copeiro 44h</vt:lpstr>
      <vt:lpstr>Carregador 44h</vt:lpstr>
      <vt:lpstr>Operador de Som 44h</vt:lpstr>
      <vt:lpstr>Equipamentos Uso Coletivo</vt:lpstr>
      <vt:lpstr>Materiais</vt:lpstr>
      <vt:lpstr>Cálculo dos Auxílios</vt:lpstr>
      <vt:lpstr>calculo dias uteis</vt:lpstr>
      <vt:lpstr>Uniformes</vt:lpstr>
      <vt:lpstr>Resumo</vt:lpstr>
      <vt:lpstr>'Almoxarife 44h'!Area_de_impressao</vt:lpstr>
      <vt:lpstr>'Carregador 44h'!Area_de_impressao</vt:lpstr>
      <vt:lpstr>'Copeiro 44h'!Area_de_impressao</vt:lpstr>
      <vt:lpstr>'Operador de Som 44h'!Area_de_impressao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CPL UFAM</cp:lastModifiedBy>
  <cp:lastPrinted>2019-04-20T12:24:00Z</cp:lastPrinted>
  <dcterms:created xsi:type="dcterms:W3CDTF">2018-01-23T19:35:00Z</dcterms:created>
  <dcterms:modified xsi:type="dcterms:W3CDTF">2024-08-15T14:22:08Z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CA27B3FAD3434F65BB0D9173B01858F3_12</vt:lpwstr>
  </property>
  <property fmtid="{D5CDD505-2E9C-101B-9397-08002B2CF9AE}" pid="3" name="KSOProductBuildVer">
    <vt:lpwstr>1046-12.2.0.17545</vt:lpwstr>
  </property>
</Properties>
</file>