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eu Drive\GERÊNCIA DE LICITAÇÃO\2022\PE 255-2022 - Serviço de Limpeza e Conservação\PE 255-2022 - Publicação\"/>
    </mc:Choice>
  </mc:AlternateContent>
  <bookViews>
    <workbookView xWindow="0" yWindow="0" windowWidth="29010" windowHeight="12360" activeTab="2"/>
  </bookViews>
  <sheets>
    <sheet name="Final" sheetId="6" r:id="rId1"/>
    <sheet name="CAPA" sheetId="5" r:id="rId2"/>
    <sheet name="Máximo" sheetId="2" r:id="rId3"/>
    <sheet name="COMPLEMENTO" sheetId="3" r:id="rId4"/>
    <sheet name="Insumos" sheetId="7" r:id="rId5"/>
  </sheets>
  <definedNames>
    <definedName name="_xlnm.Print_Area" localSheetId="1">CAPA!$A$1:$E$30</definedName>
    <definedName name="_xlnm.Print_Area" localSheetId="3">COMPLEMENTO!$A$3:$H$94</definedName>
    <definedName name="_xlnm.Print_Area" localSheetId="0">Final!$A$1:$H$57</definedName>
    <definedName name="_xlnm.Print_Area" localSheetId="2">Máximo!$A$1:$I$499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7" l="1"/>
  <c r="H66" i="7"/>
  <c r="H65" i="7"/>
  <c r="H64" i="7"/>
  <c r="H63" i="7"/>
  <c r="H56" i="7"/>
  <c r="H55" i="7"/>
  <c r="H54" i="7"/>
  <c r="H57" i="7" s="1"/>
  <c r="H47" i="7"/>
  <c r="H46" i="7"/>
  <c r="H45" i="7"/>
  <c r="H44" i="7"/>
  <c r="H43" i="7"/>
  <c r="H42" i="7"/>
  <c r="H41" i="7"/>
  <c r="A41" i="7"/>
  <c r="A42" i="7" s="1"/>
  <c r="A43" i="7" s="1"/>
  <c r="A44" i="7" s="1"/>
  <c r="A45" i="7" s="1"/>
  <c r="A46" i="7" s="1"/>
  <c r="A47" i="7" s="1"/>
  <c r="H40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H4" i="7"/>
  <c r="E448" i="2"/>
  <c r="G215" i="2"/>
  <c r="G225" i="2" s="1"/>
  <c r="G214" i="2"/>
  <c r="G224" i="2" s="1"/>
  <c r="H68" i="7" l="1"/>
  <c r="H69" i="7" s="1"/>
  <c r="H70" i="7" s="1"/>
  <c r="H48" i="7"/>
  <c r="H34" i="7"/>
  <c r="D56" i="2"/>
  <c r="D55" i="2"/>
  <c r="I55" i="2" s="1"/>
  <c r="D438" i="2" l="1"/>
  <c r="D439" i="2"/>
  <c r="H49" i="7"/>
  <c r="H35" i="7"/>
  <c r="H36" i="7" s="1"/>
  <c r="E447" i="2" s="1"/>
  <c r="H24" i="6"/>
  <c r="H50" i="7" l="1"/>
  <c r="H58" i="7"/>
  <c r="H59" i="7" s="1"/>
  <c r="F447" i="2"/>
  <c r="E466" i="2" l="1"/>
  <c r="E465" i="2"/>
  <c r="E457" i="2"/>
  <c r="E456" i="2"/>
  <c r="D24" i="5"/>
  <c r="D23" i="5"/>
  <c r="D22" i="5"/>
  <c r="E42" i="6" l="1"/>
  <c r="E41" i="6"/>
  <c r="E40" i="6"/>
  <c r="E30" i="6"/>
  <c r="E29" i="6"/>
  <c r="E28" i="6"/>
  <c r="D36" i="6"/>
  <c r="A92" i="3"/>
  <c r="A83" i="3"/>
  <c r="A74" i="3"/>
  <c r="C75" i="3"/>
  <c r="C74" i="3"/>
  <c r="C93" i="3"/>
  <c r="C92" i="3"/>
  <c r="C84" i="3"/>
  <c r="C83" i="3"/>
  <c r="H36" i="6" l="1"/>
  <c r="D460" i="2" l="1"/>
  <c r="E460" i="2" s="1"/>
  <c r="F460" i="2" s="1"/>
  <c r="D459" i="2"/>
  <c r="E459" i="2" s="1"/>
  <c r="F459" i="2" s="1"/>
  <c r="F457" i="2"/>
  <c r="G457" i="2" s="1"/>
  <c r="F475" i="2" s="1"/>
  <c r="F456" i="2"/>
  <c r="G456" i="2" s="1"/>
  <c r="F474" i="2" s="1"/>
  <c r="D461" i="2" l="1"/>
  <c r="E461" i="2" s="1"/>
  <c r="F461" i="2" s="1"/>
  <c r="D469" i="2"/>
  <c r="E469" i="2" s="1"/>
  <c r="F469" i="2" s="1"/>
  <c r="D468" i="2"/>
  <c r="E468" i="2" s="1"/>
  <c r="F468" i="2" s="1"/>
  <c r="F466" i="2"/>
  <c r="G466" i="2" s="1"/>
  <c r="F465" i="2"/>
  <c r="G465" i="2" s="1"/>
  <c r="D458" i="2" l="1"/>
  <c r="E458" i="2" s="1"/>
  <c r="F458" i="2" s="1"/>
  <c r="G475" i="2"/>
  <c r="G474" i="2"/>
  <c r="E71" i="3"/>
  <c r="C90" i="3"/>
  <c r="C81" i="3"/>
  <c r="C72" i="3"/>
  <c r="D66" i="3"/>
  <c r="D63" i="3"/>
  <c r="D57" i="3"/>
  <c r="D54" i="3"/>
  <c r="D48" i="3"/>
  <c r="D45" i="3"/>
  <c r="D39" i="3"/>
  <c r="D36" i="3"/>
  <c r="D30" i="3"/>
  <c r="D27" i="3"/>
  <c r="D21" i="3"/>
  <c r="D18" i="3"/>
  <c r="D11" i="3"/>
  <c r="D8" i="3"/>
  <c r="D470" i="2" l="1"/>
  <c r="E470" i="2" s="1"/>
  <c r="F470" i="2" s="1"/>
  <c r="D467" i="2"/>
  <c r="E467" i="2" s="1"/>
  <c r="F467" i="2" s="1"/>
  <c r="D17" i="3"/>
  <c r="D155" i="2"/>
  <c r="C71" i="3"/>
  <c r="C89" i="3"/>
  <c r="E93" i="3"/>
  <c r="E92" i="3"/>
  <c r="E90" i="3"/>
  <c r="E89" i="3"/>
  <c r="D65" i="3"/>
  <c r="D62" i="3"/>
  <c r="F93" i="3" l="1"/>
  <c r="F90" i="3"/>
  <c r="C80" i="3"/>
  <c r="E84" i="3"/>
  <c r="F84" i="3" s="1"/>
  <c r="E83" i="3"/>
  <c r="D89" i="3"/>
  <c r="F92" i="3" s="1"/>
  <c r="E81" i="3"/>
  <c r="F81" i="3"/>
  <c r="E80" i="3"/>
  <c r="D56" i="3"/>
  <c r="D53" i="3"/>
  <c r="D47" i="3"/>
  <c r="D44" i="3"/>
  <c r="D38" i="3"/>
  <c r="D35" i="3"/>
  <c r="D29" i="3"/>
  <c r="D26" i="3"/>
  <c r="D20" i="3"/>
  <c r="F71" i="3"/>
  <c r="E75" i="3"/>
  <c r="E74" i="3"/>
  <c r="F74" i="3" s="1"/>
  <c r="E72" i="3"/>
  <c r="F72" i="3" s="1"/>
  <c r="F75" i="3"/>
  <c r="D10" i="3"/>
  <c r="D7" i="3"/>
  <c r="F80" i="3" l="1"/>
  <c r="F83" i="3"/>
  <c r="F89" i="3"/>
  <c r="G349" i="2"/>
  <c r="F365" i="2" s="1"/>
  <c r="G352" i="2"/>
  <c r="F368" i="2" s="1"/>
  <c r="G354" i="2"/>
  <c r="F370" i="2" s="1"/>
  <c r="G355" i="2"/>
  <c r="F371" i="2" s="1"/>
  <c r="G356" i="2"/>
  <c r="F372" i="2" s="1"/>
  <c r="G359" i="2"/>
  <c r="F375" i="2" s="1"/>
  <c r="F358" i="2"/>
  <c r="G358" i="2" s="1"/>
  <c r="F374" i="2" s="1"/>
  <c r="F357" i="2"/>
  <c r="G357" i="2" s="1"/>
  <c r="F373" i="2" s="1"/>
  <c r="F353" i="2"/>
  <c r="G353" i="2" s="1"/>
  <c r="F369" i="2" s="1"/>
  <c r="F351" i="2"/>
  <c r="G351" i="2" s="1"/>
  <c r="F367" i="2" s="1"/>
  <c r="F350" i="2"/>
  <c r="G350" i="2" s="1"/>
  <c r="F366" i="2" s="1"/>
  <c r="F348" i="2"/>
  <c r="G348" i="2" s="1"/>
  <c r="F364" i="2" s="1"/>
  <c r="D11" i="2"/>
  <c r="F11" i="2" s="1"/>
  <c r="D20" i="2"/>
  <c r="F20" i="2" s="1"/>
  <c r="F58" i="2" s="1"/>
  <c r="D21" i="2"/>
  <c r="F21" i="2" s="1"/>
  <c r="F59" i="2" s="1"/>
  <c r="F60" i="2" s="1"/>
  <c r="D22" i="2"/>
  <c r="F22" i="2" s="1"/>
  <c r="D29" i="2" s="1"/>
  <c r="E28" i="2"/>
  <c r="E29" i="2" s="1"/>
  <c r="E32" i="2"/>
  <c r="E33" i="2" s="1"/>
  <c r="E325" i="2"/>
  <c r="E326" i="2"/>
  <c r="E327" i="2"/>
  <c r="E328" i="2"/>
  <c r="E329" i="2"/>
  <c r="E324" i="2"/>
  <c r="E277" i="2"/>
  <c r="F208" i="2"/>
  <c r="F229" i="2" s="1"/>
  <c r="F207" i="2"/>
  <c r="F228" i="2" s="1"/>
  <c r="F206" i="2"/>
  <c r="F227" i="2" s="1"/>
  <c r="F205" i="2"/>
  <c r="F226" i="2" s="1"/>
  <c r="F204" i="2"/>
  <c r="F225" i="2" s="1"/>
  <c r="F203" i="2"/>
  <c r="F224" i="2" s="1"/>
  <c r="F175" i="2"/>
  <c r="D193" i="2" s="1"/>
  <c r="F176" i="2"/>
  <c r="D185" i="2" s="1"/>
  <c r="F185" i="2" s="1"/>
  <c r="E194" i="2" s="1"/>
  <c r="F177" i="2"/>
  <c r="F178" i="2"/>
  <c r="D187" i="2" s="1"/>
  <c r="F187" i="2" s="1"/>
  <c r="E196" i="2" s="1"/>
  <c r="F179" i="2"/>
  <c r="D188" i="2" s="1"/>
  <c r="F188" i="2" s="1"/>
  <c r="E197" i="2" s="1"/>
  <c r="F174" i="2"/>
  <c r="D192" i="2" s="1"/>
  <c r="D157" i="2"/>
  <c r="G157" i="2" s="1"/>
  <c r="E166" i="2" s="1"/>
  <c r="D154" i="2"/>
  <c r="G154" i="2" s="1"/>
  <c r="E163" i="2" s="1"/>
  <c r="G146" i="2"/>
  <c r="D164" i="2" s="1"/>
  <c r="G147" i="2"/>
  <c r="D165" i="2" s="1"/>
  <c r="G148" i="2"/>
  <c r="D166" i="2" s="1"/>
  <c r="G149" i="2"/>
  <c r="D167" i="2" s="1"/>
  <c r="G150" i="2"/>
  <c r="D168" i="2" s="1"/>
  <c r="G145" i="2"/>
  <c r="D163" i="2" s="1"/>
  <c r="E124" i="2"/>
  <c r="E125" i="2"/>
  <c r="E126" i="2"/>
  <c r="E127" i="2"/>
  <c r="E128" i="2"/>
  <c r="E123" i="2"/>
  <c r="E114" i="2"/>
  <c r="E77" i="2"/>
  <c r="E78" i="2"/>
  <c r="E79" i="2"/>
  <c r="E80" i="2"/>
  <c r="E81" i="2"/>
  <c r="E82" i="2"/>
  <c r="D58" i="2"/>
  <c r="D57" i="2"/>
  <c r="D18" i="2" l="1"/>
  <c r="F18" i="2" s="1"/>
  <c r="D17" i="2"/>
  <c r="F17" i="2" s="1"/>
  <c r="D28" i="2" s="1"/>
  <c r="D32" i="2" s="1"/>
  <c r="G32" i="2" s="1"/>
  <c r="E37" i="2" s="1"/>
  <c r="G29" i="2"/>
  <c r="D38" i="2" s="1"/>
  <c r="D19" i="2"/>
  <c r="F19" i="2" s="1"/>
  <c r="G11" i="2"/>
  <c r="F163" i="2"/>
  <c r="D224" i="2" s="1"/>
  <c r="I224" i="2" s="1"/>
  <c r="D184" i="2"/>
  <c r="F184" i="2" s="1"/>
  <c r="E193" i="2" s="1"/>
  <c r="F193" i="2" s="1"/>
  <c r="E225" i="2" s="1"/>
  <c r="E278" i="2"/>
  <c r="D33" i="2"/>
  <c r="G33" i="2" s="1"/>
  <c r="E38" i="2" s="1"/>
  <c r="D158" i="2"/>
  <c r="G158" i="2" s="1"/>
  <c r="E167" i="2" s="1"/>
  <c r="F167" i="2" s="1"/>
  <c r="D228" i="2" s="1"/>
  <c r="D194" i="2"/>
  <c r="F194" i="2" s="1"/>
  <c r="E226" i="2" s="1"/>
  <c r="D183" i="2"/>
  <c r="F183" i="2" s="1"/>
  <c r="E192" i="2" s="1"/>
  <c r="F192" i="2" s="1"/>
  <c r="E224" i="2" s="1"/>
  <c r="F166" i="2"/>
  <c r="D227" i="2" s="1"/>
  <c r="F56" i="2"/>
  <c r="D196" i="2"/>
  <c r="F196" i="2" s="1"/>
  <c r="E228" i="2" s="1"/>
  <c r="I58" i="2"/>
  <c r="E116" i="2"/>
  <c r="E117" i="2" s="1"/>
  <c r="E118" i="2"/>
  <c r="E119" i="2" s="1"/>
  <c r="D59" i="2"/>
  <c r="E115" i="2"/>
  <c r="D156" i="2"/>
  <c r="G156" i="2" s="1"/>
  <c r="E165" i="2" s="1"/>
  <c r="F165" i="2" s="1"/>
  <c r="D226" i="2" s="1"/>
  <c r="G155" i="2"/>
  <c r="E164" i="2" s="1"/>
  <c r="F164" i="2" s="1"/>
  <c r="D225" i="2" s="1"/>
  <c r="D197" i="2"/>
  <c r="F197" i="2" s="1"/>
  <c r="E229" i="2" s="1"/>
  <c r="F434" i="2"/>
  <c r="E276" i="2"/>
  <c r="E280" i="2"/>
  <c r="E275" i="2"/>
  <c r="E279" i="2"/>
  <c r="D195" i="2"/>
  <c r="D186" i="2"/>
  <c r="F186" i="2" s="1"/>
  <c r="E195" i="2" s="1"/>
  <c r="D251" i="2"/>
  <c r="I225" i="2" l="1"/>
  <c r="F236" i="2" s="1"/>
  <c r="F235" i="2"/>
  <c r="F57" i="2"/>
  <c r="I57" i="2" s="1"/>
  <c r="D70" i="2" s="1"/>
  <c r="I56" i="2"/>
  <c r="G28" i="2"/>
  <c r="D37" i="2" s="1"/>
  <c r="F37" i="2" s="1"/>
  <c r="E439" i="2"/>
  <c r="D475" i="2" s="1"/>
  <c r="H228" i="2"/>
  <c r="F239" i="2" s="1"/>
  <c r="F38" i="2"/>
  <c r="D159" i="2"/>
  <c r="G159" i="2" s="1"/>
  <c r="E168" i="2" s="1"/>
  <c r="F168" i="2" s="1"/>
  <c r="D229" i="2" s="1"/>
  <c r="H229" i="2" s="1"/>
  <c r="F240" i="2" s="1"/>
  <c r="H226" i="2"/>
  <c r="F237" i="2" s="1"/>
  <c r="D441" i="2"/>
  <c r="E441" i="2" s="1"/>
  <c r="D477" i="2" s="1"/>
  <c r="D443" i="2"/>
  <c r="E443" i="2" s="1"/>
  <c r="D479" i="2" s="1"/>
  <c r="D440" i="2"/>
  <c r="E440" i="2" s="1"/>
  <c r="D476" i="2" s="1"/>
  <c r="D442" i="2"/>
  <c r="E442" i="2" s="1"/>
  <c r="D478" i="2" s="1"/>
  <c r="E438" i="2"/>
  <c r="F195" i="2"/>
  <c r="E227" i="2" s="1"/>
  <c r="H227" i="2" s="1"/>
  <c r="F238" i="2" s="1"/>
  <c r="D60" i="2"/>
  <c r="I60" i="2" s="1"/>
  <c r="D71" i="2"/>
  <c r="D451" i="2"/>
  <c r="E451" i="2" s="1"/>
  <c r="F451" i="2" s="1"/>
  <c r="E478" i="2" s="1"/>
  <c r="D450" i="2"/>
  <c r="E450" i="2" s="1"/>
  <c r="F450" i="2" s="1"/>
  <c r="E477" i="2" s="1"/>
  <c r="F376" i="2"/>
  <c r="D474" i="2" l="1"/>
  <c r="E392" i="2"/>
  <c r="E391" i="2"/>
  <c r="F478" i="2"/>
  <c r="D69" i="2"/>
  <c r="E492" i="2"/>
  <c r="D492" i="2"/>
  <c r="D68" i="2"/>
  <c r="D80" i="2"/>
  <c r="F71" i="2"/>
  <c r="D73" i="2"/>
  <c r="E396" i="2"/>
  <c r="E393" i="2"/>
  <c r="F477" i="2"/>
  <c r="F70" i="2"/>
  <c r="D79" i="2"/>
  <c r="G59" i="2"/>
  <c r="I59" i="2" s="1"/>
  <c r="D376" i="2"/>
  <c r="E376" i="2"/>
  <c r="G80" i="2" l="1"/>
  <c r="D89" i="2"/>
  <c r="F89" i="2" s="1"/>
  <c r="D82" i="2"/>
  <c r="F73" i="2"/>
  <c r="F68" i="2"/>
  <c r="D77" i="2"/>
  <c r="D88" i="2"/>
  <c r="F88" i="2" s="1"/>
  <c r="G79" i="2"/>
  <c r="E394" i="2"/>
  <c r="D72" i="2"/>
  <c r="F69" i="2"/>
  <c r="D78" i="2"/>
  <c r="E395" i="2"/>
  <c r="F317" i="2"/>
  <c r="F318" i="2"/>
  <c r="D87" i="2" l="1"/>
  <c r="F87" i="2" s="1"/>
  <c r="G78" i="2"/>
  <c r="E317" i="2"/>
  <c r="F320" i="2"/>
  <c r="D317" i="2"/>
  <c r="G82" i="2"/>
  <c r="D91" i="2"/>
  <c r="F91" i="2" s="1"/>
  <c r="D81" i="2"/>
  <c r="F72" i="2"/>
  <c r="F316" i="2"/>
  <c r="D96" i="2"/>
  <c r="D86" i="2"/>
  <c r="F86" i="2" s="1"/>
  <c r="G77" i="2"/>
  <c r="D318" i="2"/>
  <c r="D95" i="2"/>
  <c r="F315" i="2"/>
  <c r="E318" i="2"/>
  <c r="G318" i="2" l="1"/>
  <c r="D327" i="2" s="1"/>
  <c r="F327" i="2" s="1"/>
  <c r="F338" i="2" s="1"/>
  <c r="G317" i="2"/>
  <c r="D326" i="2" s="1"/>
  <c r="F326" i="2" s="1"/>
  <c r="F337" i="2" s="1"/>
  <c r="D237" i="2"/>
  <c r="D238" i="2"/>
  <c r="D117" i="2"/>
  <c r="F117" i="2" s="1"/>
  <c r="D135" i="2" s="1"/>
  <c r="D126" i="2"/>
  <c r="F126" i="2" s="1"/>
  <c r="E316" i="2"/>
  <c r="E96" i="2"/>
  <c r="D90" i="2"/>
  <c r="F90" i="2" s="1"/>
  <c r="G81" i="2"/>
  <c r="E315" i="2"/>
  <c r="E95" i="2"/>
  <c r="D320" i="2"/>
  <c r="D315" i="2"/>
  <c r="F95" i="2"/>
  <c r="F319" i="2"/>
  <c r="E320" i="2"/>
  <c r="D316" i="2"/>
  <c r="F96" i="2"/>
  <c r="G315" i="2" l="1"/>
  <c r="D324" i="2" s="1"/>
  <c r="F324" i="2" s="1"/>
  <c r="F335" i="2" s="1"/>
  <c r="G95" i="2"/>
  <c r="D114" i="2" s="1"/>
  <c r="F114" i="2" s="1"/>
  <c r="D132" i="2" s="1"/>
  <c r="D125" i="2"/>
  <c r="F125" i="2" s="1"/>
  <c r="D268" i="2" s="1"/>
  <c r="F268" i="2" s="1"/>
  <c r="G96" i="2"/>
  <c r="D124" i="2" s="1"/>
  <c r="F124" i="2" s="1"/>
  <c r="D116" i="2"/>
  <c r="F116" i="2" s="1"/>
  <c r="D134" i="2" s="1"/>
  <c r="G316" i="2"/>
  <c r="D325" i="2" s="1"/>
  <c r="F325" i="2" s="1"/>
  <c r="F336" i="2" s="1"/>
  <c r="D240" i="2"/>
  <c r="D119" i="2"/>
  <c r="F119" i="2" s="1"/>
  <c r="D137" i="2" s="1"/>
  <c r="D128" i="2"/>
  <c r="F128" i="2" s="1"/>
  <c r="G320" i="2"/>
  <c r="D329" i="2" s="1"/>
  <c r="F329" i="2" s="1"/>
  <c r="F340" i="2" s="1"/>
  <c r="E319" i="2"/>
  <c r="D319" i="2"/>
  <c r="D269" i="2"/>
  <c r="F269" i="2" s="1"/>
  <c r="D298" i="2"/>
  <c r="F298" i="2" s="1"/>
  <c r="E135" i="2"/>
  <c r="F135" i="2" s="1"/>
  <c r="E238" i="2" s="1"/>
  <c r="G238" i="2" s="1"/>
  <c r="D235" i="2" l="1"/>
  <c r="G319" i="2"/>
  <c r="D328" i="2" s="1"/>
  <c r="F328" i="2" s="1"/>
  <c r="F339" i="2" s="1"/>
  <c r="D236" i="2"/>
  <c r="E134" i="2"/>
  <c r="F134" i="2" s="1"/>
  <c r="E237" i="2" s="1"/>
  <c r="G237" i="2" s="1"/>
  <c r="D297" i="2"/>
  <c r="F297" i="2" s="1"/>
  <c r="D123" i="2"/>
  <c r="F123" i="2" s="1"/>
  <c r="D266" i="2" s="1"/>
  <c r="F266" i="2" s="1"/>
  <c r="D118" i="2"/>
  <c r="F118" i="2" s="1"/>
  <c r="D136" i="2" s="1"/>
  <c r="D115" i="2"/>
  <c r="F115" i="2" s="1"/>
  <c r="D133" i="2" s="1"/>
  <c r="D260" i="2"/>
  <c r="F260" i="2" s="1"/>
  <c r="D278" i="2" s="1"/>
  <c r="F278" i="2" s="1"/>
  <c r="D338" i="2" s="1"/>
  <c r="D289" i="2"/>
  <c r="F289" i="2" s="1"/>
  <c r="D307" i="2" s="1"/>
  <c r="F307" i="2" s="1"/>
  <c r="E338" i="2" s="1"/>
  <c r="D296" i="2"/>
  <c r="F296" i="2" s="1"/>
  <c r="D267" i="2"/>
  <c r="F267" i="2" s="1"/>
  <c r="E133" i="2"/>
  <c r="D300" i="2"/>
  <c r="F300" i="2" s="1"/>
  <c r="E137" i="2"/>
  <c r="F137" i="2" s="1"/>
  <c r="E240" i="2" s="1"/>
  <c r="G240" i="2" s="1"/>
  <c r="D271" i="2"/>
  <c r="F271" i="2" s="1"/>
  <c r="D239" i="2" l="1"/>
  <c r="D127" i="2"/>
  <c r="F127" i="2" s="1"/>
  <c r="E136" i="2" s="1"/>
  <c r="F136" i="2" s="1"/>
  <c r="E239" i="2" s="1"/>
  <c r="D295" i="2"/>
  <c r="F295" i="2" s="1"/>
  <c r="E132" i="2"/>
  <c r="F132" i="2" s="1"/>
  <c r="E235" i="2" s="1"/>
  <c r="G235" i="2" s="1"/>
  <c r="F133" i="2"/>
  <c r="E236" i="2" s="1"/>
  <c r="G236" i="2" s="1"/>
  <c r="D259" i="2"/>
  <c r="F259" i="2" s="1"/>
  <c r="D277" i="2" s="1"/>
  <c r="F277" i="2" s="1"/>
  <c r="D337" i="2" s="1"/>
  <c r="D288" i="2"/>
  <c r="F288" i="2" s="1"/>
  <c r="D306" i="2" s="1"/>
  <c r="F306" i="2" s="1"/>
  <c r="E337" i="2" s="1"/>
  <c r="G338" i="2"/>
  <c r="D385" i="2" s="1"/>
  <c r="F385" i="2" s="1"/>
  <c r="D394" i="2" s="1"/>
  <c r="F394" i="2" s="1"/>
  <c r="G394" i="2" s="1"/>
  <c r="D418" i="2" s="1"/>
  <c r="F418" i="2" s="1"/>
  <c r="D262" i="2"/>
  <c r="F262" i="2" s="1"/>
  <c r="D280" i="2" s="1"/>
  <c r="F280" i="2" s="1"/>
  <c r="D340" i="2" s="1"/>
  <c r="D291" i="2"/>
  <c r="F291" i="2" s="1"/>
  <c r="D309" i="2" s="1"/>
  <c r="F309" i="2" s="1"/>
  <c r="E340" i="2" s="1"/>
  <c r="G239" i="2" l="1"/>
  <c r="D290" i="2" s="1"/>
  <c r="F290" i="2" s="1"/>
  <c r="D257" i="2"/>
  <c r="F257" i="2" s="1"/>
  <c r="D275" i="2" s="1"/>
  <c r="F275" i="2" s="1"/>
  <c r="D335" i="2" s="1"/>
  <c r="D287" i="2"/>
  <c r="F287" i="2" s="1"/>
  <c r="D305" i="2" s="1"/>
  <c r="F305" i="2" s="1"/>
  <c r="E336" i="2" s="1"/>
  <c r="D270" i="2"/>
  <c r="F270" i="2" s="1"/>
  <c r="E493" i="2"/>
  <c r="D286" i="2"/>
  <c r="F286" i="2" s="1"/>
  <c r="D304" i="2" s="1"/>
  <c r="F304" i="2" s="1"/>
  <c r="E335" i="2" s="1"/>
  <c r="D493" i="2"/>
  <c r="D299" i="2"/>
  <c r="F299" i="2" s="1"/>
  <c r="D258" i="2"/>
  <c r="F258" i="2" s="1"/>
  <c r="D276" i="2" s="1"/>
  <c r="F276" i="2" s="1"/>
  <c r="D336" i="2" s="1"/>
  <c r="G337" i="2"/>
  <c r="D384" i="2" s="1"/>
  <c r="D403" i="2" s="1"/>
  <c r="F403" i="2" s="1"/>
  <c r="G340" i="2"/>
  <c r="D261" i="2" l="1"/>
  <c r="F261" i="2" s="1"/>
  <c r="D279" i="2" s="1"/>
  <c r="F279" i="2" s="1"/>
  <c r="D339" i="2" s="1"/>
  <c r="G339" i="2" s="1"/>
  <c r="D386" i="2" s="1"/>
  <c r="F386" i="2" s="1"/>
  <c r="D395" i="2" s="1"/>
  <c r="F395" i="2" s="1"/>
  <c r="G395" i="2" s="1"/>
  <c r="D419" i="2" s="1"/>
  <c r="F419" i="2" s="1"/>
  <c r="G335" i="2"/>
  <c r="G336" i="2"/>
  <c r="E494" i="2" s="1"/>
  <c r="D308" i="2"/>
  <c r="F308" i="2" s="1"/>
  <c r="E339" i="2" s="1"/>
  <c r="F384" i="2"/>
  <c r="D393" i="2" s="1"/>
  <c r="F393" i="2" s="1"/>
  <c r="G393" i="2" s="1"/>
  <c r="D417" i="2" s="1"/>
  <c r="D409" i="2"/>
  <c r="F409" i="2" s="1"/>
  <c r="E417" i="2" s="1"/>
  <c r="D387" i="2"/>
  <c r="F387" i="2" s="1"/>
  <c r="D396" i="2" s="1"/>
  <c r="F396" i="2" s="1"/>
  <c r="G396" i="2" s="1"/>
  <c r="D420" i="2" s="1"/>
  <c r="F420" i="2" s="1"/>
  <c r="D382" i="2" l="1"/>
  <c r="F401" i="2" s="1"/>
  <c r="D407" i="2" s="1"/>
  <c r="F407" i="2" s="1"/>
  <c r="D494" i="2"/>
  <c r="D383" i="2"/>
  <c r="F402" i="2" s="1"/>
  <c r="D408" i="2" s="1"/>
  <c r="F408" i="2" s="1"/>
  <c r="F417" i="2"/>
  <c r="F382" i="2" l="1"/>
  <c r="D391" i="2" s="1"/>
  <c r="F391" i="2" s="1"/>
  <c r="G391" i="2" s="1"/>
  <c r="D415" i="2" s="1"/>
  <c r="F415" i="2" s="1"/>
  <c r="D447" i="2" s="1"/>
  <c r="D456" i="2" s="1"/>
  <c r="F383" i="2"/>
  <c r="D392" i="2" s="1"/>
  <c r="F392" i="2" s="1"/>
  <c r="G392" i="2" s="1"/>
  <c r="D416" i="2" s="1"/>
  <c r="F416" i="2" s="1"/>
  <c r="G447" i="2"/>
  <c r="E474" i="2" s="1"/>
  <c r="H474" i="2" s="1"/>
  <c r="F448" i="2"/>
  <c r="G448" i="2" s="1"/>
  <c r="E475" i="2" s="1"/>
  <c r="H475" i="2" s="1"/>
  <c r="D495" i="2" l="1"/>
  <c r="D465" i="2"/>
  <c r="E496" i="2"/>
  <c r="D486" i="2"/>
  <c r="D496" i="2"/>
  <c r="D485" i="2"/>
  <c r="F485" i="2" s="1"/>
  <c r="D497" i="2" s="1"/>
  <c r="D448" i="2"/>
  <c r="E495" i="2"/>
  <c r="D466" i="2" l="1"/>
  <c r="D457" i="2"/>
  <c r="D498" i="2"/>
  <c r="E7" i="3" s="1"/>
  <c r="D452" i="2"/>
  <c r="E452" i="2" s="1"/>
  <c r="F452" i="2" s="1"/>
  <c r="E479" i="2" s="1"/>
  <c r="F479" i="2" s="1"/>
  <c r="D449" i="2"/>
  <c r="E449" i="2" s="1"/>
  <c r="F486" i="2" l="1"/>
  <c r="E497" i="2" s="1"/>
  <c r="E26" i="3"/>
  <c r="E53" i="3" s="1"/>
  <c r="F53" i="3" s="1"/>
  <c r="G71" i="3"/>
  <c r="H71" i="3" s="1"/>
  <c r="F7" i="3"/>
  <c r="E10" i="3"/>
  <c r="F10" i="3" s="1"/>
  <c r="E17" i="3"/>
  <c r="E44" i="3" s="1"/>
  <c r="E47" i="3" s="1"/>
  <c r="F47" i="3" s="1"/>
  <c r="E35" i="3"/>
  <c r="E62" i="3" s="1"/>
  <c r="E65" i="3" s="1"/>
  <c r="F65" i="3" s="1"/>
  <c r="F449" i="2"/>
  <c r="E476" i="2" s="1"/>
  <c r="F476" i="2" s="1"/>
  <c r="F26" i="3" l="1"/>
  <c r="E56" i="3"/>
  <c r="F56" i="3" s="1"/>
  <c r="E29" i="3"/>
  <c r="F29" i="3" s="1"/>
  <c r="E498" i="2"/>
  <c r="E8" i="3" s="1"/>
  <c r="F35" i="3"/>
  <c r="E38" i="3"/>
  <c r="F38" i="3" s="1"/>
  <c r="F62" i="3"/>
  <c r="G74" i="3"/>
  <c r="G80" i="3" s="1"/>
  <c r="F17" i="3"/>
  <c r="E20" i="3"/>
  <c r="F20" i="3" s="1"/>
  <c r="F44" i="3"/>
  <c r="H74" i="3" l="1"/>
  <c r="E11" i="3"/>
  <c r="G72" i="3"/>
  <c r="H72" i="3" s="1"/>
  <c r="H73" i="3" s="1"/>
  <c r="E18" i="3"/>
  <c r="E36" i="3"/>
  <c r="F8" i="3"/>
  <c r="F9" i="3" s="1"/>
  <c r="E27" i="3"/>
  <c r="G83" i="3"/>
  <c r="H80" i="3"/>
  <c r="E63" i="3" l="1"/>
  <c r="F36" i="3"/>
  <c r="F37" i="3" s="1"/>
  <c r="E39" i="3"/>
  <c r="F39" i="3" s="1"/>
  <c r="F40" i="3" s="1"/>
  <c r="E45" i="3"/>
  <c r="E21" i="3"/>
  <c r="F21" i="3" s="1"/>
  <c r="F22" i="3" s="1"/>
  <c r="D22" i="6" s="1"/>
  <c r="F18" i="3"/>
  <c r="F19" i="3" s="1"/>
  <c r="E54" i="3"/>
  <c r="E30" i="3"/>
  <c r="F30" i="3" s="1"/>
  <c r="F31" i="3" s="1"/>
  <c r="D23" i="6" s="1"/>
  <c r="H23" i="6" s="1"/>
  <c r="F27" i="3"/>
  <c r="F28" i="3" s="1"/>
  <c r="F11" i="3"/>
  <c r="F12" i="3" s="1"/>
  <c r="D21" i="6" s="1"/>
  <c r="H21" i="6" s="1"/>
  <c r="G75" i="3"/>
  <c r="H83" i="3"/>
  <c r="G89" i="3"/>
  <c r="D34" i="6" l="1"/>
  <c r="H34" i="6" s="1"/>
  <c r="H22" i="6"/>
  <c r="D35" i="6"/>
  <c r="H35" i="6" s="1"/>
  <c r="H75" i="3"/>
  <c r="H76" i="3" s="1"/>
  <c r="D29" i="6" s="1"/>
  <c r="H29" i="6" s="1"/>
  <c r="G81" i="3"/>
  <c r="F54" i="3"/>
  <c r="F55" i="3" s="1"/>
  <c r="E57" i="3"/>
  <c r="F57" i="3" s="1"/>
  <c r="F58" i="3" s="1"/>
  <c r="D26" i="6" s="1"/>
  <c r="H26" i="6" s="1"/>
  <c r="D33" i="6"/>
  <c r="H33" i="6" s="1"/>
  <c r="E48" i="3"/>
  <c r="F48" i="3" s="1"/>
  <c r="F49" i="3" s="1"/>
  <c r="D25" i="6" s="1"/>
  <c r="H25" i="6" s="1"/>
  <c r="F45" i="3"/>
  <c r="F46" i="3" s="1"/>
  <c r="E66" i="3"/>
  <c r="F66" i="3" s="1"/>
  <c r="F67" i="3" s="1"/>
  <c r="D27" i="6" s="1"/>
  <c r="H27" i="6" s="1"/>
  <c r="F63" i="3"/>
  <c r="F64" i="3" s="1"/>
  <c r="G92" i="3"/>
  <c r="H92" i="3" s="1"/>
  <c r="H89" i="3"/>
  <c r="G84" i="3" l="1"/>
  <c r="H81" i="3"/>
  <c r="H82" i="3" s="1"/>
  <c r="D41" i="6"/>
  <c r="H41" i="6" s="1"/>
  <c r="D39" i="6"/>
  <c r="H39" i="6" s="1"/>
  <c r="D38" i="6"/>
  <c r="H38" i="6" s="1"/>
  <c r="D37" i="6"/>
  <c r="H37" i="6" s="1"/>
  <c r="G90" i="3" l="1"/>
  <c r="H84" i="3"/>
  <c r="H85" i="3" s="1"/>
  <c r="D28" i="6" s="1"/>
  <c r="H28" i="6" s="1"/>
  <c r="D40" i="6" l="1"/>
  <c r="H40" i="6" s="1"/>
  <c r="G93" i="3"/>
  <c r="H93" i="3" s="1"/>
  <c r="H94" i="3" s="1"/>
  <c r="D30" i="6" s="1"/>
  <c r="H30" i="6" s="1"/>
  <c r="H31" i="6" s="1"/>
  <c r="H32" i="6" s="1"/>
  <c r="H90" i="3"/>
  <c r="H91" i="3" s="1"/>
  <c r="D42" i="6" l="1"/>
  <c r="H42" i="6" s="1"/>
  <c r="H43" i="6" s="1"/>
  <c r="H45" i="6" l="1"/>
  <c r="H46" i="6" s="1"/>
  <c r="H44" i="6"/>
</calcChain>
</file>

<file path=xl/sharedStrings.xml><?xml version="1.0" encoding="utf-8"?>
<sst xmlns="http://schemas.openxmlformats.org/spreadsheetml/2006/main" count="1010" uniqueCount="371">
  <si>
    <t>Supervisor</t>
  </si>
  <si>
    <t>SALÁRIO BASE</t>
  </si>
  <si>
    <t>Base de cálculo</t>
  </si>
  <si>
    <t>Percentual</t>
  </si>
  <si>
    <t>Aumento</t>
  </si>
  <si>
    <t>Salário</t>
  </si>
  <si>
    <t>Categoria</t>
  </si>
  <si>
    <t>SALÁRIO DO SUPERVISOR</t>
  </si>
  <si>
    <t>Vigilante 12x36 D</t>
  </si>
  <si>
    <t>Vigilante 12x36 N</t>
  </si>
  <si>
    <t>Vigilante 44h semanais</t>
  </si>
  <si>
    <t>Supervisor 12x36 D</t>
  </si>
  <si>
    <t>Supervisor 12x36 N</t>
  </si>
  <si>
    <t>Supervisor 44h semanais</t>
  </si>
  <si>
    <t>Valor</t>
  </si>
  <si>
    <t>ADICIONAL DE PERICULOSIDADE</t>
  </si>
  <si>
    <t>PLANILHA DE CUSTO E FORMAÇÃO DE PREÇO</t>
  </si>
  <si>
    <t>MÓDULO 1 - REMUNERAÇÃO</t>
  </si>
  <si>
    <t>ADICIONAL NOTURNO</t>
  </si>
  <si>
    <t>ADICIONAL POR TRABALHO NOTURNO</t>
  </si>
  <si>
    <t>Base de Cálculo</t>
  </si>
  <si>
    <t>Proporção</t>
  </si>
  <si>
    <t>HORA NOTURNA REDUZIDA</t>
  </si>
  <si>
    <t>Adicional Noturno</t>
  </si>
  <si>
    <t>Hora Noturna
Reduzida</t>
  </si>
  <si>
    <t>ADICIONAL XXX</t>
  </si>
  <si>
    <t>Salário Base</t>
  </si>
  <si>
    <t>Periculosidade</t>
  </si>
  <si>
    <t>Adicional XXX</t>
  </si>
  <si>
    <t>Total</t>
  </si>
  <si>
    <t>Gratificação do
Supervisor</t>
  </si>
  <si>
    <t>SUBMÓDULO 2.1 - FÉRIAS, 1/3 CONSTITUCIONAL E 13º SALÁRIO</t>
  </si>
  <si>
    <t>ADICIONAL DE FÉRIAS - 1/3 CONSTITUCIONAL</t>
  </si>
  <si>
    <t>Alíquota Adicional</t>
  </si>
  <si>
    <t>FÉRIAS</t>
  </si>
  <si>
    <t>1/3 Constitucional</t>
  </si>
  <si>
    <t>Férias</t>
  </si>
  <si>
    <t>SUBMÓDULO 2.2 - ENCARGOS PREVIDENCIÁRIOS E FGTS</t>
  </si>
  <si>
    <t>COMPOSIÇÃO DO GPS E FGTS</t>
  </si>
  <si>
    <t>Encargos</t>
  </si>
  <si>
    <t>INSS - empregador</t>
  </si>
  <si>
    <t>Salário-Educação</t>
  </si>
  <si>
    <t>SAT- GIL/RAT</t>
  </si>
  <si>
    <t>SESC</t>
  </si>
  <si>
    <t>SENAC</t>
  </si>
  <si>
    <t>SEBRAE</t>
  </si>
  <si>
    <t>INCRA</t>
  </si>
  <si>
    <t>FGTS</t>
  </si>
  <si>
    <t>TOTAL</t>
  </si>
  <si>
    <t>GPS - GUIA DA PREVIDÊNCIA SOCIAL</t>
  </si>
  <si>
    <t>FGTS - FUNDO DE GARANTIA POR TEMPO DE SERVIÇO</t>
  </si>
  <si>
    <t>GPS</t>
  </si>
  <si>
    <t>SUBMÓDULO 2.3 - BENEFÍCIOS MENSAIS E DIÁRIOS</t>
  </si>
  <si>
    <t>VALE TRANSPORTE</t>
  </si>
  <si>
    <t>Vr. Unitário</t>
  </si>
  <si>
    <t xml:space="preserve">Vales por dia </t>
  </si>
  <si>
    <t>Custo total</t>
  </si>
  <si>
    <t>Dias efetivamente trabalhados</t>
  </si>
  <si>
    <t>CUSTO DA PASSAGEM</t>
  </si>
  <si>
    <t>Proporcionalidade</t>
  </si>
  <si>
    <t>Desconto</t>
  </si>
  <si>
    <t>Valor do desconto</t>
  </si>
  <si>
    <t>DESCONTO DO VALE TRANSPORTE</t>
  </si>
  <si>
    <t>Custo efetivo</t>
  </si>
  <si>
    <t>CUSTO EFETIVO DO VALE TRANSPORTE</t>
  </si>
  <si>
    <t>VALE ALIMENTAÇÃO/REFEIÇÃO</t>
  </si>
  <si>
    <t>Valor diário</t>
  </si>
  <si>
    <t>DESCONTO DO VALE ALIMENTAÇÃO/REFEIÇÃO</t>
  </si>
  <si>
    <t>CUSTO EFETIVO DO VALE ALIMENTAÇÃO/REFEIÇÃO</t>
  </si>
  <si>
    <t>BENEFÍCIO 1</t>
  </si>
  <si>
    <t>BENEFÍCIO 2</t>
  </si>
  <si>
    <t>Vale Transporte</t>
  </si>
  <si>
    <t>Vale Refeição</t>
  </si>
  <si>
    <t>MÓDULO 3 - PROVISÃO PARA RESCISÃO</t>
  </si>
  <si>
    <t>PERCENTUAIS POR TIPO DE
 DESLIGAMENTO</t>
  </si>
  <si>
    <t>Tipos</t>
  </si>
  <si>
    <t>Demissão 
SEM  justa Causa</t>
  </si>
  <si>
    <t>SEM justa Causa
AP INDENIZADO</t>
  </si>
  <si>
    <t>SEM justa Causa 
AP TRABALHADO</t>
  </si>
  <si>
    <t>Demissão
 COM  justa Causa</t>
  </si>
  <si>
    <t>Desligamentos 
OUTROS TIPOS</t>
  </si>
  <si>
    <t>SUBMÓDULO 3.1 - AVISO PRÉVIO INDENIZADO</t>
  </si>
  <si>
    <t>nº de meses</t>
  </si>
  <si>
    <t>AVISO PRÉVIO INDENIZADO</t>
  </si>
  <si>
    <t>MÓDULO 2 - ENCARGOS E BENEFÍCIOS(ANUAIS, MENSAIS E DIÁRIOS)</t>
  </si>
  <si>
    <t>Submódulo 2.1</t>
  </si>
  <si>
    <t>Submódulo 2.2</t>
  </si>
  <si>
    <t>Submódulo 2.3</t>
  </si>
  <si>
    <t>MULTA DO FGTS E CONTRIBUIÇÃO SOCIAL SOBRE O AVISO PRÉVIO INDENIZADO</t>
  </si>
  <si>
    <t>Percentual da 
Multa</t>
  </si>
  <si>
    <t>SUBMÓDULO 3.1 - CUSTO DO AVISO PRÉVIO INDENIZADO</t>
  </si>
  <si>
    <t>SUBMÓDULO 3.2 - AVISO PRÉVIO TRABALHADO</t>
  </si>
  <si>
    <t>AVISO PRÉVIO TRABALHADO</t>
  </si>
  <si>
    <t>MULTA DO FGTS E CONTRIBUIÇÃO SOCIAL SOBRE O AVISO PRÉVIO TRABALHADO</t>
  </si>
  <si>
    <t>SUBMÓDULO 3.3 - DEMISSÃO POR JUSTA CAUSA</t>
  </si>
  <si>
    <t>Valor provisionado do 13º salário</t>
  </si>
  <si>
    <t>Valor provisionado do Adicional de Férias</t>
  </si>
  <si>
    <t>Valor provisionado das Férias</t>
  </si>
  <si>
    <t>BASE DE CÁLCULO PARA DEMISSÃO POR JUSTA CAUSA</t>
  </si>
  <si>
    <t>SUBMÓDULO 3.3 - CUSTO DA DEMISSÃO COM JUSTA CAUSA</t>
  </si>
  <si>
    <t>Submódulo 3.1</t>
  </si>
  <si>
    <t>Submódulo 3.2</t>
  </si>
  <si>
    <t>Submódulo 3.3</t>
  </si>
  <si>
    <t>SUBMÓDULO 3.2 - CUSTO DO AVISO PRÉVIO TRABALHADO</t>
  </si>
  <si>
    <t>MÓDULO 4 - CUSTO DE REPOSIÇÃO DO PROFISSIONAL AUSENTE</t>
  </si>
  <si>
    <t>Custo diário</t>
  </si>
  <si>
    <t>Divisor do dia</t>
  </si>
  <si>
    <t>CUSTO DIÁRIO PARA O REPOSITOR</t>
  </si>
  <si>
    <t xml:space="preserve">Memória de Cálculo - número de dias de reposição do profissional ausente para cada evento </t>
  </si>
  <si>
    <t>Incidencia anual</t>
  </si>
  <si>
    <t>Duração Legal  
da Ausência</t>
  </si>
  <si>
    <t>44h</t>
  </si>
  <si>
    <t>Proporção dias afetados</t>
  </si>
  <si>
    <t>Dias de reposição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</si>
  <si>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</si>
  <si>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</si>
  <si>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</si>
  <si>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</si>
  <si>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</si>
  <si>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</si>
  <si>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</si>
  <si>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</si>
  <si>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</si>
  <si>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</si>
  <si>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</si>
  <si>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Composição</t>
  </si>
  <si>
    <t>44 SEM</t>
  </si>
  <si>
    <t>Total Para reposição</t>
  </si>
  <si>
    <t>ESTIMATIVA DA NECESSIDADE DE REPOSIÇÃO DE PROFISSIONAL</t>
  </si>
  <si>
    <t>Necessidade de Reposição</t>
  </si>
  <si>
    <t>Custo anual</t>
  </si>
  <si>
    <t>Custo mensal</t>
  </si>
  <si>
    <t>SUBMÓDULO 4.1 - AUSÊNCIAS LEGAIS</t>
  </si>
  <si>
    <t>SUBMÓDULO 4.2 - INTRAJORNADA</t>
  </si>
  <si>
    <t>divisor de hora</t>
  </si>
  <si>
    <t>CUSTO POR HORA DO REPOSITOR</t>
  </si>
  <si>
    <t>Valor da hora</t>
  </si>
  <si>
    <t>Necessidade de Reposição (horas)</t>
  </si>
  <si>
    <t>Submódulo 4.1</t>
  </si>
  <si>
    <t>MÓDULO 5 - INSUMOS DE MÃO DE OBRA</t>
  </si>
  <si>
    <t>MÓDULO 6 - CUSTOS INDIRETOS, TRIBUTOS E LUCRO</t>
  </si>
  <si>
    <t>Módulo</t>
  </si>
  <si>
    <t>Remuneração</t>
  </si>
  <si>
    <t>Encargos e Benefícios</t>
  </si>
  <si>
    <t>Rescisão</t>
  </si>
  <si>
    <t>Reposição do Profissional Ausente</t>
  </si>
  <si>
    <t>Insumos Diversos</t>
  </si>
  <si>
    <t>Custos Indiretos, Tributos e Lucro</t>
  </si>
  <si>
    <t>Valor por Posto</t>
  </si>
  <si>
    <t>VALOR POR POSTO</t>
  </si>
  <si>
    <t>13° SALÁRIO</t>
  </si>
  <si>
    <t xml:space="preserve">Férias </t>
  </si>
  <si>
    <t>13° Salário</t>
  </si>
  <si>
    <t>MÓDULO 2 - ENCARGOS E BENEFÍCIOS (ANUAIS, MENSAIS E DIÁRIOS)</t>
  </si>
  <si>
    <t xml:space="preserve">UNIFORMES - COMPOSIÇÃO - VALOR ANUAL </t>
  </si>
  <si>
    <t>Item</t>
  </si>
  <si>
    <t>qte</t>
  </si>
  <si>
    <t>Vr. Unitario</t>
  </si>
  <si>
    <t>Calça</t>
  </si>
  <si>
    <t>Camisa</t>
  </si>
  <si>
    <t>Cinto de nylon</t>
  </si>
  <si>
    <t>Distintivo tipo broche</t>
  </si>
  <si>
    <t>Meia</t>
  </si>
  <si>
    <t>Boné</t>
  </si>
  <si>
    <t>Cracha</t>
  </si>
  <si>
    <t>UNIFORMES</t>
  </si>
  <si>
    <t xml:space="preserve">Custo mensal </t>
  </si>
  <si>
    <t>Descrição</t>
  </si>
  <si>
    <t>Módulo 5 - INSUMOS DE MÃO DE OBRA</t>
  </si>
  <si>
    <t>Uniforme</t>
  </si>
  <si>
    <t xml:space="preserve">Custo anual por Pessoa  </t>
  </si>
  <si>
    <t xml:space="preserve">Quando não constar na convenção coletiva o salário deste cargo ou similar. Proceder com realização de pesquisa nos vizinhos e realizar calculo com base na tabela ao lado </t>
  </si>
  <si>
    <t>O orgão público  não é obrigado a pagar participação de lucros da empresa ao funcionário</t>
  </si>
  <si>
    <t>Dados Fornecidos pelo CAGED</t>
  </si>
  <si>
    <t>Caso sejam demitidos funcionários, serão pagos 100% dos avisos dos novos funcionários.</t>
  </si>
  <si>
    <t>Multa FTGS - 100% para todos as prorrogações de contrato</t>
  </si>
  <si>
    <t>Agente de Limpeza</t>
  </si>
  <si>
    <t>Lider de Serviços</t>
  </si>
  <si>
    <t>CESTA BÁSICA</t>
  </si>
  <si>
    <t>Cesta Básica</t>
  </si>
  <si>
    <t>-</t>
  </si>
  <si>
    <t xml:space="preserve">INSUMOS DE MATERIAIS </t>
  </si>
  <si>
    <t>Base cálculo</t>
  </si>
  <si>
    <t>Custo Mensal</t>
  </si>
  <si>
    <t>Confins</t>
  </si>
  <si>
    <t>Materiais</t>
  </si>
  <si>
    <t>COMPLEMENTO DOS SERVIÇOS DE LIMPEZA E CONSERVAÇÃO</t>
  </si>
  <si>
    <t>MÃO DE OBRA</t>
  </si>
  <si>
    <t>SUBTOTAL (R$/M²)</t>
  </si>
  <si>
    <t>PREÇO HOMEM-MÊS (R$)</t>
  </si>
  <si>
    <t>PRODUTIVIDADE (1/M²)</t>
  </si>
  <si>
    <t>800 M²</t>
  </si>
  <si>
    <t>1200 M²</t>
  </si>
  <si>
    <t xml:space="preserve"> (A)  PRODUTIVIDADE (1/M²)</t>
  </si>
  <si>
    <t>(C)   JORNADA DE TRABALHO NO MÊS (HORAS)</t>
  </si>
  <si>
    <t>(D)            (AxBxC)</t>
  </si>
  <si>
    <t>(E)      PREÇO HOMEM-MÊS (R$)</t>
  </si>
  <si>
    <t>(F)  SUBTOTAL (R$/M²)</t>
  </si>
  <si>
    <t>PISOS FRIOS</t>
  </si>
  <si>
    <t>LABORATÓRIOS</t>
  </si>
  <si>
    <t>ALMOXARIFADO E GALPÕES</t>
  </si>
  <si>
    <t>ÁREAS LIVRES (HALL E SALÕES)</t>
  </si>
  <si>
    <t>BANHEIROS</t>
  </si>
  <si>
    <t>ESQUADRIA EXTERNA COM SITUAÇÃO DE RISCO</t>
  </si>
  <si>
    <t>ESQUADRIA EXTERNA SEM SITUAÇÃO DE RISCO</t>
  </si>
  <si>
    <t>Pisos Frios</t>
  </si>
  <si>
    <t>Laboratórios</t>
  </si>
  <si>
    <t>Almoxarifado e galpões</t>
  </si>
  <si>
    <t>Áreas livres (hall ou salão)</t>
  </si>
  <si>
    <t>Banheiros</t>
  </si>
  <si>
    <t>Varrição de Passeios e arruamentos</t>
  </si>
  <si>
    <t>VARRIÇÃO DE PASSEIOS E ARRUAMENTOS</t>
  </si>
  <si>
    <t>(E)         PREÇO HOMEM-MÊS (R$)</t>
  </si>
  <si>
    <t>Pisos pavimentados adjacentes/contíguos às edificações</t>
  </si>
  <si>
    <t>PISOS PAVIMENTOS ADJACENTES/CONTIGUOS ÀS EDIFICAÇÕES</t>
  </si>
  <si>
    <t>ESQUADRIA INTERNA SEM SITUAÇÃO DE RISCO</t>
  </si>
  <si>
    <t>Encarregado de Serviços</t>
  </si>
  <si>
    <t>Agente de Limpeza / Encarregado de Serviços</t>
  </si>
  <si>
    <t>INSUMOS DE EQUIPAMENTOS</t>
  </si>
  <si>
    <t>Equipamentos</t>
  </si>
  <si>
    <t>Produtividade</t>
  </si>
  <si>
    <t>Área Construida</t>
  </si>
  <si>
    <t>Valor Mensal</t>
  </si>
  <si>
    <t>Área Interna</t>
  </si>
  <si>
    <t>Área Externa</t>
  </si>
  <si>
    <t>Esquadrias</t>
  </si>
  <si>
    <t>Total Mensal</t>
  </si>
  <si>
    <t xml:space="preserve"> </t>
  </si>
  <si>
    <t xml:space="preserve">DISCRIMINAÇÃO DOS SERVIÇOS (DADOS REFERENTES À CONTRATAÇÃO) </t>
  </si>
  <si>
    <t xml:space="preserve">A </t>
  </si>
  <si>
    <t xml:space="preserve">Data de apresentação da proposta (dia/mês/ano): </t>
  </si>
  <si>
    <t xml:space="preserve">B </t>
  </si>
  <si>
    <t xml:space="preserve">Município/UF: </t>
  </si>
  <si>
    <t xml:space="preserve">C </t>
  </si>
  <si>
    <t xml:space="preserve">Ano, Acordo, Convenção ou Sentença Normativa em Dissídio Coletivo: </t>
  </si>
  <si>
    <t xml:space="preserve">D </t>
  </si>
  <si>
    <t xml:space="preserve">Nº de meses de execução contratual: </t>
  </si>
  <si>
    <t xml:space="preserve">IDENTIFICAÇÃO DO SERVIÇO </t>
  </si>
  <si>
    <t>MÃO DE OBRA VINCULADA À EXECUÇÃO CONTRATUAL</t>
  </si>
  <si>
    <t>Área (m²)</t>
  </si>
  <si>
    <t>TIPO DE ÁREA/ LOCAL</t>
  </si>
  <si>
    <t>Face Externa com situação de risco</t>
  </si>
  <si>
    <t>Face Externa sem situação de risco</t>
  </si>
  <si>
    <t>Face Interna</t>
  </si>
  <si>
    <t>Unidade de Medida</t>
  </si>
  <si>
    <t>Área a ser limpa</t>
  </si>
  <si>
    <t>Produtividade adotada</t>
  </si>
  <si>
    <t>Coari/AM</t>
  </si>
  <si>
    <t>12 MESES</t>
  </si>
  <si>
    <t>44 (quarenta e quatro) horas semanais, de segunda a sábado</t>
  </si>
  <si>
    <t>INSUMOS DE EQUIPAMENTOS DE SEGURANÇA</t>
  </si>
  <si>
    <t>E. Seguraça</t>
  </si>
  <si>
    <t>Bota</t>
  </si>
  <si>
    <t>R$ m²</t>
  </si>
  <si>
    <t>Subtotal Anual</t>
  </si>
  <si>
    <t>(B) FREQUÊNCIA NO BIMESTRE (HORAS)</t>
  </si>
  <si>
    <t>PRODUTIVIDADE CONVERTIDA</t>
  </si>
  <si>
    <t>PRODUTIVIDADE      (m²)</t>
  </si>
  <si>
    <t>PRODUTIVIDADE         (m²)</t>
  </si>
  <si>
    <t>PRODUTIVIDADE        (m²)</t>
  </si>
  <si>
    <t>ATC - Área Total Convertida - (m²)</t>
  </si>
  <si>
    <t>GRUPO 01</t>
  </si>
  <si>
    <t>ITEM 02  (CAMPUS 02)</t>
  </si>
  <si>
    <t>ITEM 01  (CAMPUS 01)</t>
  </si>
  <si>
    <t>VALOR TOTAL GLOBAL ANUAL ESTIMADO</t>
  </si>
  <si>
    <t>VALOR TOTAL GLOBAL MENSAL ESTIMADO</t>
  </si>
  <si>
    <t>Tipo de Área / Local</t>
  </si>
  <si>
    <t xml:space="preserve">Poder Executivo
 Ministério da Educação
 Universidade Federal do Amazonas
 Instituto de Saúde e Biotecnologia – ISB/Coari
 Gerência de Licitação
</t>
  </si>
  <si>
    <t>Poder Executivo
 Ministério da Educação
 Universidade Federal do Amazonas
 Instituto de Saúde e Biotecnologia – ISB/Coari
 Gerência de Licitação</t>
  </si>
  <si>
    <t xml:space="preserve">De acordo com o entendimento do TCU no Acórdão nº 1.186/2017 - Plenário, a Administração 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 (Enunciado do Boletim de Jurisprudência nº 176/2017). </t>
  </si>
  <si>
    <t xml:space="preserve">Assistencia Social e Familiar </t>
  </si>
  <si>
    <t>ASSISTÊNCIA SOCIAL E FAMILIAR,  PLANO ODONTOLOGICO E QUALIFICAÇÃO PROFISSIONAL</t>
  </si>
  <si>
    <t>Plano Odontologico</t>
  </si>
  <si>
    <t>Qualificação Proficssional</t>
  </si>
  <si>
    <t>Assistência Social Familiar, P. Odontologico, Qual. Profissional</t>
  </si>
  <si>
    <t>catmat</t>
  </si>
  <si>
    <t>Unidade</t>
  </si>
  <si>
    <t>Quantidade</t>
  </si>
  <si>
    <t>Água sanitária, embalagem de 5 litros.</t>
  </si>
  <si>
    <t>Garrafa 5 litro</t>
  </si>
  <si>
    <t>Álcool elítico, límpido, 46° INPM, para limpeza doméstica, embalagem de 1 Litro.</t>
  </si>
  <si>
    <t>Litro</t>
  </si>
  <si>
    <t>Álcool 70°, embalagem com 1 litro.</t>
  </si>
  <si>
    <t>Desodorizador de ar, biodegradável, embalagem de 360 ml.</t>
  </si>
  <si>
    <t>Frasco 360 ml</t>
  </si>
  <si>
    <t>Sabonete líquido para as mãos, de odor agradável, com ph neutro, em embalagem de 5 litros.</t>
  </si>
  <si>
    <t>Galão 5 litros</t>
  </si>
  <si>
    <t>Papel tolha branco, 100% celulose virgem, com duas dobras, de alta absorção e de alta qualidade, fardo com 1250 folhas.</t>
  </si>
  <si>
    <t>Fardo</t>
  </si>
  <si>
    <t>Papel higiênico de primeira qualidade, na cor branca, celulose vigem, folha dupla picotada, rolo com 300mX 10cm, fardo com 8 rolos.</t>
  </si>
  <si>
    <t>Pacote 8 unidade</t>
  </si>
  <si>
    <t>Flanela branca ou amarela, de boa qualidade, mediando 30X 30 cm.</t>
  </si>
  <si>
    <t>Limpador de vidros, frasco com 500 ml.</t>
  </si>
  <si>
    <t>Pano de chão de saco alvejado, medindo 40 x70cm, para limpeza de piso-cor branca.</t>
  </si>
  <si>
    <t>Frasco 200 ml</t>
  </si>
  <si>
    <t>Desinfetante de uso geral, biodegradável, embalagem de 5 litros.</t>
  </si>
  <si>
    <t>Pacote</t>
  </si>
  <si>
    <t>Esponja de fibra, com dupla face.</t>
  </si>
  <si>
    <t>Inseticida liquida piretróide, detamethrina, biodegradável, contra moscas e insetos rasteiros, 300 ml.</t>
  </si>
  <si>
    <t>Sabão em barra, biodegradável, embalagem com 1kg.</t>
  </si>
  <si>
    <t>Sabão em pó, biodegradável, embalagem com 1kg.</t>
  </si>
  <si>
    <t>cx 1 kg</t>
  </si>
  <si>
    <t>Saco de lixo, capacidade para 100 litros, pacote com 100 unidades.</t>
  </si>
  <si>
    <t>Pacote com 100 uni</t>
  </si>
  <si>
    <t>Saco para lixo, capacidade para 30 litros, pacote com 100 unidades.</t>
  </si>
  <si>
    <t>Saco para lixo, capacidade para 200 litros, pacote com 100 unidades.</t>
  </si>
  <si>
    <t>Pá coletora de lixo com cabo longo em alumínio</t>
  </si>
  <si>
    <t>Vassoura de piaçava, 20 cm de largura, com cabo de madeira, revestimento plástico.</t>
  </si>
  <si>
    <t>Vassourinha para limpeza de vaso sanitário, cabeça redonda em plástico com suporte.</t>
  </si>
  <si>
    <t>Espanador para tirar poeira, tamanho médio, com cabo extensor de 3 metros.</t>
  </si>
  <si>
    <t>Rodo com 2 borrachas- 60 cm de largura, com cabo.</t>
  </si>
  <si>
    <t>Rodo com 2 borrachas- 40 cm de largura, com cabo.</t>
  </si>
  <si>
    <t>Desentupidor manual de pia, com cabo plástico</t>
  </si>
  <si>
    <t xml:space="preserve">Unidade </t>
  </si>
  <si>
    <t>Cesto plástico com tampa para lixo, capacidade 100 litros.</t>
  </si>
  <si>
    <t>Balde plástico para agua, capacidade 20 litros.</t>
  </si>
  <si>
    <t>Escova de mão, para lavar/esfregar pano.</t>
  </si>
  <si>
    <t>Subtotal</t>
  </si>
  <si>
    <t>Relação de Equipamentos</t>
  </si>
  <si>
    <t>Escada com 6 degraus de alumínio.</t>
  </si>
  <si>
    <t>Unid.</t>
  </si>
  <si>
    <t>Lixeira para papel higiênico, capacidade 20 litros.</t>
  </si>
  <si>
    <t>Kit carro funcional para limpeza completo.</t>
  </si>
  <si>
    <t>Extensão elétrica, 30 metros de comprimento.</t>
  </si>
  <si>
    <t>Lava jato de alta pressão, com mangueira e pistola.</t>
  </si>
  <si>
    <t>Placa de Sinalização de piso molhado.</t>
  </si>
  <si>
    <t>Enceradeira lavadora de piso, moto 1HP, engrenagem de aço, acompanhada dos discos necessários à limpeza.</t>
  </si>
  <si>
    <t>Mangueira plástica traçada de ½ polegadas, 50 metros.</t>
  </si>
  <si>
    <t>Equipamento de Proteção</t>
  </si>
  <si>
    <t>Luvas em latex de borracha, internamente forrada tamanhos pequeno e médio e grande, para utilização em limpeza geral</t>
  </si>
  <si>
    <t>Par</t>
  </si>
  <si>
    <t>Óculos de Proteção com lente incolor</t>
  </si>
  <si>
    <t>Máscara protetora descartavel - pacote com 50 unidades</t>
  </si>
  <si>
    <t>Uniformes</t>
  </si>
  <si>
    <t>Camisa confeccionado em tecido gabardine, fechada, com  bolso superior esquerdo, mangas curtas, insignia da licitante vencedora no bolso e costas</t>
  </si>
  <si>
    <t>Calça, confeccionada em tecido gabardine, com elástico total e cordão para amarrar, com dois bolsos frontas.</t>
  </si>
  <si>
    <t>Botas, cano curto, solado antieslizante e antiderrapante, impermeável, hidro - repelente, com sistema de elástico, antibactérias</t>
  </si>
  <si>
    <t>Meias em algodão, tipo soquete</t>
  </si>
  <si>
    <t>Crachá em pvc para identificação</t>
  </si>
  <si>
    <t xml:space="preserve">Valor Unitário R$ </t>
  </si>
  <si>
    <t>Valor Total R$</t>
  </si>
  <si>
    <r>
      <t>Polidor de móveis, embalagem de 200ml. (</t>
    </r>
    <r>
      <rPr>
        <b/>
        <sz val="11"/>
        <color theme="1"/>
        <rFont val="Arial"/>
        <family val="2"/>
      </rPr>
      <t>LUSTRADOR MÓVEIS</t>
    </r>
    <r>
      <rPr>
        <sz val="11"/>
        <color theme="1"/>
        <rFont val="Arial"/>
        <family val="2"/>
      </rPr>
      <t>)</t>
    </r>
  </si>
  <si>
    <r>
      <t>Esponja de Aço, pacote com 8 unidades. (</t>
    </r>
    <r>
      <rPr>
        <b/>
        <sz val="11"/>
        <color theme="1"/>
        <rFont val="Arial"/>
        <family val="2"/>
      </rPr>
      <t>esponja limpeza, material lã aço)</t>
    </r>
  </si>
  <si>
    <t>Total anual por funcionário</t>
  </si>
  <si>
    <t>Total mensal por funcionário</t>
  </si>
  <si>
    <t>Relação de Materiais de Limpeza</t>
  </si>
  <si>
    <t>Nº do Processo: 23105.027803/2022-52</t>
  </si>
  <si>
    <t>Licitação Nº 255/2022</t>
  </si>
  <si>
    <t>Coari/AM, 12 de julho de 2022</t>
  </si>
  <si>
    <t>Agente de Limpeza (11 Postos)</t>
  </si>
  <si>
    <t>Encarregado de Serviços (01 Posto)</t>
  </si>
  <si>
    <t>Representante da Empresa</t>
  </si>
  <si>
    <t>MODELO DE PROPOSTA</t>
  </si>
  <si>
    <t>USAR PAPEL COM TIMBRE DA EMPRESA</t>
  </si>
  <si>
    <r>
      <t>AO INSTITUTO DE SAÚDE E BIOTECNOLOGIA, DA UNIVERSIDADE FEDERAL DO AMAZONAS – ISB/UFAM. Estrada Coari-Mamiá, n°</t>
    </r>
    <r>
      <rPr>
        <sz val="12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305, Bairro Espírito Santo, Telefone: (92) 3305-1181, Ramal 2194. </t>
    </r>
  </si>
  <si>
    <t xml:space="preserve">CEP: 69.460-000 </t>
  </si>
  <si>
    <t>A/C: Gerência de Licitação – ISB</t>
  </si>
  <si>
    <t xml:space="preserve">Razão Social: </t>
  </si>
  <si>
    <t xml:space="preserve">CNPJ/CPF: </t>
  </si>
  <si>
    <t xml:space="preserve">Endereço Completo: </t>
  </si>
  <si>
    <t xml:space="preserve">Fone/Fax: </t>
  </si>
  <si>
    <t xml:space="preserve">E-mail: </t>
  </si>
  <si>
    <t xml:space="preserve">a) Validade de Proposta: 60 dias; </t>
  </si>
  <si>
    <t xml:space="preserve">b) Valor mensal global da proposta por extenso: </t>
  </si>
  <si>
    <t>c) Valor anual global da proposta por extenso</t>
  </si>
  <si>
    <t xml:space="preserve">d) Finalizando, declaramos que estamos de pleno acordo com todas as condições estabelecidas no Edital e seus Anexos. </t>
  </si>
  <si>
    <t xml:space="preserve">Município/UF, ...... de ........................ de 2022. </t>
  </si>
  <si>
    <t>_________________________________________________</t>
  </si>
  <si>
    <t>Responsável pela empresa (assinatura)</t>
  </si>
  <si>
    <t xml:space="preserve">Pregão Eletrônico nº 255/2022 </t>
  </si>
  <si>
    <t>Marca / Modelo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</si>
</sst>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;[Red]#,##0.00"/>
    <numFmt numFmtId="166" formatCode="0.0000"/>
    <numFmt numFmtId="167" formatCode="#,##0.0000_ ;\-#,##0.0000\ "/>
    <numFmt numFmtId="168" formatCode="_(* #,##0.00_);_(* \(#,##0.00\);_(* \-??_);_(@_)"/>
    <numFmt numFmtId="169" formatCode="_-&quot;R$&quot;\ * #,##0.00_-;\-&quot;R$&quot;\ * #,##0.00_-;_-&quot;R$&quot;\ * &quot;-&quot;??_-;_-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Times New Roman"/>
      <family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/>
    </xf>
    <xf numFmtId="165" fontId="15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5" fontId="15" fillId="0" borderId="7" xfId="0" applyNumberFormat="1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65" fontId="12" fillId="0" borderId="17" xfId="0" applyNumberFormat="1" applyFont="1" applyBorder="1" applyAlignment="1">
      <alignment horizontal="center" vertical="center"/>
    </xf>
    <xf numFmtId="10" fontId="12" fillId="0" borderId="17" xfId="1" applyNumberFormat="1" applyFont="1" applyFill="1" applyBorder="1" applyAlignment="1">
      <alignment horizontal="center" vertical="center"/>
    </xf>
    <xf numFmtId="165" fontId="15" fillId="0" borderId="36" xfId="0" applyNumberFormat="1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5" fontId="12" fillId="0" borderId="12" xfId="0" applyNumberFormat="1" applyFont="1" applyBorder="1" applyAlignment="1">
      <alignment horizontal="center" vertical="center"/>
    </xf>
    <xf numFmtId="9" fontId="12" fillId="0" borderId="12" xfId="1" applyFont="1" applyBorder="1" applyAlignment="1">
      <alignment horizontal="center" vertical="center"/>
    </xf>
    <xf numFmtId="165" fontId="15" fillId="0" borderId="3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9" fontId="12" fillId="0" borderId="1" xfId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5" fontId="12" fillId="0" borderId="26" xfId="0" applyNumberFormat="1" applyFont="1" applyBorder="1" applyAlignment="1">
      <alignment horizontal="center" vertical="center"/>
    </xf>
    <xf numFmtId="9" fontId="12" fillId="0" borderId="26" xfId="1" applyFont="1" applyBorder="1" applyAlignment="1">
      <alignment horizontal="center" vertical="center"/>
    </xf>
    <xf numFmtId="165" fontId="15" fillId="0" borderId="27" xfId="0" applyNumberFormat="1" applyFont="1" applyBorder="1" applyAlignment="1">
      <alignment horizontal="center" vertical="center"/>
    </xf>
    <xf numFmtId="165" fontId="12" fillId="0" borderId="13" xfId="0" applyNumberFormat="1" applyFont="1" applyBorder="1" applyAlignment="1">
      <alignment horizontal="center" vertical="center"/>
    </xf>
    <xf numFmtId="9" fontId="12" fillId="0" borderId="13" xfId="1" applyFont="1" applyBorder="1" applyAlignment="1">
      <alignment horizontal="center" vertical="center"/>
    </xf>
    <xf numFmtId="10" fontId="12" fillId="0" borderId="12" xfId="1" applyNumberFormat="1" applyFont="1" applyBorder="1" applyAlignment="1">
      <alignment horizontal="center" vertical="center"/>
    </xf>
    <xf numFmtId="10" fontId="12" fillId="0" borderId="13" xfId="1" applyNumberFormat="1" applyFont="1" applyBorder="1" applyAlignment="1">
      <alignment horizontal="center" vertical="center"/>
    </xf>
    <xf numFmtId="2" fontId="12" fillId="0" borderId="12" xfId="1" applyNumberFormat="1" applyFont="1" applyBorder="1" applyAlignment="1">
      <alignment horizontal="center" vertical="center"/>
    </xf>
    <xf numFmtId="2" fontId="12" fillId="0" borderId="13" xfId="1" applyNumberFormat="1" applyFont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65" fontId="15" fillId="0" borderId="18" xfId="0" applyNumberFormat="1" applyFont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10" fontId="12" fillId="0" borderId="12" xfId="0" applyNumberFormat="1" applyFont="1" applyBorder="1" applyAlignment="1">
      <alignment horizontal="center" vertical="center"/>
    </xf>
    <xf numFmtId="10" fontId="12" fillId="0" borderId="13" xfId="0" applyNumberFormat="1" applyFont="1" applyBorder="1" applyAlignment="1">
      <alignment horizontal="center" vertical="center"/>
    </xf>
    <xf numFmtId="10" fontId="12" fillId="0" borderId="17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 wrapText="1"/>
    </xf>
    <xf numFmtId="165" fontId="12" fillId="0" borderId="14" xfId="0" applyNumberFormat="1" applyFont="1" applyBorder="1" applyAlignment="1">
      <alignment horizontal="center" vertical="center"/>
    </xf>
    <xf numFmtId="10" fontId="12" fillId="0" borderId="14" xfId="1" applyNumberFormat="1" applyFont="1" applyBorder="1" applyAlignment="1">
      <alignment horizontal="center" vertical="center"/>
    </xf>
    <xf numFmtId="10" fontId="12" fillId="0" borderId="14" xfId="0" applyNumberFormat="1" applyFont="1" applyBorder="1" applyAlignment="1">
      <alignment horizontal="center" vertical="center"/>
    </xf>
    <xf numFmtId="10" fontId="12" fillId="0" borderId="1" xfId="1" applyNumberFormat="1" applyFont="1" applyBorder="1" applyAlignment="1">
      <alignment horizontal="center" vertical="center"/>
    </xf>
    <xf numFmtId="10" fontId="12" fillId="0" borderId="5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5" fillId="2" borderId="16" xfId="0" applyFont="1" applyFill="1" applyBorder="1" applyAlignment="1">
      <alignment horizontal="center" vertical="center"/>
    </xf>
    <xf numFmtId="10" fontId="15" fillId="2" borderId="18" xfId="1" applyNumberFormat="1" applyFont="1" applyFill="1" applyBorder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165" fontId="15" fillId="0" borderId="14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2" fontId="12" fillId="0" borderId="12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9" fontId="12" fillId="0" borderId="14" xfId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165" fontId="15" fillId="0" borderId="12" xfId="0" applyNumberFormat="1" applyFont="1" applyBorder="1" applyAlignment="1">
      <alignment horizontal="center" vertical="center"/>
    </xf>
    <xf numFmtId="165" fontId="15" fillId="0" borderId="13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65" fontId="12" fillId="0" borderId="23" xfId="0" applyNumberFormat="1" applyFont="1" applyBorder="1" applyAlignment="1">
      <alignment horizontal="center" vertical="center"/>
    </xf>
    <xf numFmtId="165" fontId="15" fillId="0" borderId="24" xfId="0" applyNumberFormat="1" applyFont="1" applyBorder="1" applyAlignment="1">
      <alignment horizontal="center" vertical="center"/>
    </xf>
    <xf numFmtId="165" fontId="12" fillId="0" borderId="0" xfId="0" applyNumberFormat="1" applyFont="1" applyBorder="1" applyAlignment="1">
      <alignment horizontal="center" vertical="center"/>
    </xf>
    <xf numFmtId="165" fontId="15" fillId="0" borderId="0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10" fontId="12" fillId="0" borderId="3" xfId="1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0" fontId="12" fillId="0" borderId="5" xfId="1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10" fontId="12" fillId="0" borderId="7" xfId="1" applyNumberFormat="1" applyFont="1" applyFill="1" applyBorder="1" applyAlignment="1">
      <alignment horizontal="center" vertical="center"/>
    </xf>
    <xf numFmtId="10" fontId="15" fillId="2" borderId="11" xfId="0" applyNumberFormat="1" applyFont="1" applyFill="1" applyBorder="1" applyAlignment="1">
      <alignment horizontal="center" vertical="center"/>
    </xf>
    <xf numFmtId="165" fontId="12" fillId="4" borderId="12" xfId="0" applyNumberFormat="1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165" fontId="15" fillId="4" borderId="3" xfId="0" applyNumberFormat="1" applyFont="1" applyFill="1" applyBorder="1" applyAlignment="1">
      <alignment horizontal="center" vertical="center"/>
    </xf>
    <xf numFmtId="165" fontId="12" fillId="4" borderId="13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165" fontId="15" fillId="4" borderId="7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165" fontId="12" fillId="4" borderId="14" xfId="0" applyNumberFormat="1" applyFont="1" applyFill="1" applyBorder="1" applyAlignment="1">
      <alignment horizontal="center" vertical="center"/>
    </xf>
    <xf numFmtId="165" fontId="15" fillId="4" borderId="4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/>
    </xf>
    <xf numFmtId="165" fontId="15" fillId="4" borderId="4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2" borderId="31" xfId="0" applyFont="1" applyFill="1" applyBorder="1" applyAlignment="1">
      <alignment horizontal="center" vertical="center" wrapText="1"/>
    </xf>
    <xf numFmtId="165" fontId="15" fillId="0" borderId="41" xfId="0" applyNumberFormat="1" applyFont="1" applyBorder="1" applyAlignment="1">
      <alignment horizontal="center" vertical="center"/>
    </xf>
    <xf numFmtId="165" fontId="15" fillId="0" borderId="47" xfId="0" applyNumberFormat="1" applyFont="1" applyBorder="1" applyAlignment="1">
      <alignment horizontal="center" vertical="center"/>
    </xf>
    <xf numFmtId="40" fontId="12" fillId="0" borderId="12" xfId="0" applyNumberFormat="1" applyFont="1" applyBorder="1" applyAlignment="1">
      <alignment horizontal="center" vertical="center"/>
    </xf>
    <xf numFmtId="40" fontId="15" fillId="0" borderId="3" xfId="0" applyNumberFormat="1" applyFont="1" applyBorder="1" applyAlignment="1">
      <alignment horizontal="center" vertical="center"/>
    </xf>
    <xf numFmtId="40" fontId="12" fillId="0" borderId="0" xfId="0" applyNumberFormat="1" applyFont="1" applyAlignment="1">
      <alignment horizontal="center" vertical="center"/>
    </xf>
    <xf numFmtId="40" fontId="12" fillId="0" borderId="13" xfId="0" applyNumberFormat="1" applyFont="1" applyBorder="1" applyAlignment="1">
      <alignment horizontal="center" vertical="center"/>
    </xf>
    <xf numFmtId="40" fontId="15" fillId="0" borderId="7" xfId="0" applyNumberFormat="1" applyFont="1" applyBorder="1" applyAlignment="1">
      <alignment horizontal="center" vertical="center"/>
    </xf>
    <xf numFmtId="40" fontId="12" fillId="0" borderId="14" xfId="0" applyNumberFormat="1" applyFont="1" applyBorder="1" applyAlignment="1">
      <alignment horizontal="center" vertical="center"/>
    </xf>
    <xf numFmtId="40" fontId="15" fillId="0" borderId="9" xfId="0" applyNumberFormat="1" applyFont="1" applyBorder="1" applyAlignment="1">
      <alignment horizontal="center" vertical="center"/>
    </xf>
    <xf numFmtId="40" fontId="12" fillId="0" borderId="1" xfId="0" applyNumberFormat="1" applyFont="1" applyBorder="1" applyAlignment="1">
      <alignment horizontal="center" vertical="center"/>
    </xf>
    <xf numFmtId="40" fontId="15" fillId="0" borderId="5" xfId="0" applyNumberFormat="1" applyFont="1" applyBorder="1" applyAlignment="1">
      <alignment horizontal="center" vertical="center"/>
    </xf>
    <xf numFmtId="165" fontId="12" fillId="0" borderId="12" xfId="0" applyNumberFormat="1" applyFont="1" applyFill="1" applyBorder="1" applyAlignment="1">
      <alignment horizontal="center" vertical="center"/>
    </xf>
    <xf numFmtId="40" fontId="12" fillId="0" borderId="12" xfId="0" applyNumberFormat="1" applyFont="1" applyFill="1" applyBorder="1" applyAlignment="1">
      <alignment horizontal="center" vertical="center"/>
    </xf>
    <xf numFmtId="165" fontId="15" fillId="0" borderId="3" xfId="0" applyNumberFormat="1" applyFont="1" applyFill="1" applyBorder="1" applyAlignment="1">
      <alignment horizontal="center" vertical="center"/>
    </xf>
    <xf numFmtId="165" fontId="12" fillId="0" borderId="13" xfId="0" applyNumberFormat="1" applyFont="1" applyFill="1" applyBorder="1" applyAlignment="1">
      <alignment horizontal="center" vertical="center"/>
    </xf>
    <xf numFmtId="40" fontId="12" fillId="0" borderId="13" xfId="0" applyNumberFormat="1" applyFont="1" applyFill="1" applyBorder="1" applyAlignment="1">
      <alignment horizontal="center" vertical="center"/>
    </xf>
    <xf numFmtId="165" fontId="15" fillId="0" borderId="7" xfId="0" applyNumberFormat="1" applyFont="1" applyFill="1" applyBorder="1" applyAlignment="1">
      <alignment horizontal="center" vertical="center"/>
    </xf>
    <xf numFmtId="165" fontId="12" fillId="0" borderId="14" xfId="0" applyNumberFormat="1" applyFont="1" applyFill="1" applyBorder="1" applyAlignment="1">
      <alignment horizontal="center" vertical="center"/>
    </xf>
    <xf numFmtId="40" fontId="12" fillId="0" borderId="14" xfId="0" applyNumberFormat="1" applyFont="1" applyFill="1" applyBorder="1" applyAlignment="1">
      <alignment horizontal="center" vertical="center"/>
    </xf>
    <xf numFmtId="165" fontId="15" fillId="0" borderId="9" xfId="0" applyNumberFormat="1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40" fontId="12" fillId="0" borderId="1" xfId="0" applyNumberFormat="1" applyFont="1" applyFill="1" applyBorder="1" applyAlignment="1">
      <alignment horizontal="center" vertical="center"/>
    </xf>
    <xf numFmtId="165" fontId="15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6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center" vertical="center" wrapText="1"/>
    </xf>
    <xf numFmtId="167" fontId="15" fillId="0" borderId="5" xfId="2" applyNumberFormat="1" applyFont="1" applyBorder="1" applyAlignment="1">
      <alignment horizontal="center" vertical="center" wrapText="1"/>
    </xf>
    <xf numFmtId="10" fontId="12" fillId="0" borderId="0" xfId="1" applyNumberFormat="1" applyFont="1" applyFill="1" applyBorder="1" applyAlignment="1">
      <alignment horizontal="center" vertical="center" wrapText="1"/>
    </xf>
    <xf numFmtId="167" fontId="15" fillId="0" borderId="0" xfId="2" applyNumberFormat="1" applyFont="1" applyFill="1" applyBorder="1" applyAlignment="1">
      <alignment horizontal="center" vertical="center" wrapText="1"/>
    </xf>
    <xf numFmtId="166" fontId="12" fillId="0" borderId="13" xfId="0" applyNumberFormat="1" applyFont="1" applyFill="1" applyBorder="1" applyAlignment="1">
      <alignment horizontal="center" vertical="center" wrapText="1"/>
    </xf>
    <xf numFmtId="2" fontId="12" fillId="0" borderId="13" xfId="0" applyNumberFormat="1" applyFont="1" applyBorder="1" applyAlignment="1">
      <alignment horizontal="center" vertical="center" wrapText="1"/>
    </xf>
    <xf numFmtId="10" fontId="12" fillId="0" borderId="13" xfId="1" applyNumberFormat="1" applyFont="1" applyBorder="1" applyAlignment="1">
      <alignment horizontal="center" vertical="center" wrapText="1"/>
    </xf>
    <xf numFmtId="167" fontId="15" fillId="0" borderId="7" xfId="2" applyNumberFormat="1" applyFont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center" vertical="center" wrapText="1"/>
    </xf>
    <xf numFmtId="166" fontId="12" fillId="0" borderId="5" xfId="0" applyNumberFormat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166" fontId="15" fillId="2" borderId="13" xfId="0" applyNumberFormat="1" applyFont="1" applyFill="1" applyBorder="1" applyAlignment="1">
      <alignment horizontal="center" vertical="center" wrapText="1"/>
    </xf>
    <xf numFmtId="166" fontId="15" fillId="2" borderId="7" xfId="0" applyNumberFormat="1" applyFont="1" applyFill="1" applyBorder="1" applyAlignment="1">
      <alignment horizontal="center" vertical="center" wrapText="1"/>
    </xf>
    <xf numFmtId="166" fontId="12" fillId="0" borderId="12" xfId="0" applyNumberFormat="1" applyFont="1" applyBorder="1" applyAlignment="1">
      <alignment horizontal="center" vertical="center"/>
    </xf>
    <xf numFmtId="166" fontId="12" fillId="0" borderId="13" xfId="0" applyNumberFormat="1" applyFont="1" applyBorder="1" applyAlignment="1">
      <alignment horizontal="center" vertical="center"/>
    </xf>
    <xf numFmtId="166" fontId="12" fillId="0" borderId="14" xfId="0" applyNumberFormat="1" applyFont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8" fillId="3" borderId="19" xfId="0" applyFont="1" applyFill="1" applyBorder="1" applyAlignment="1">
      <alignment horizontal="center" vertical="center"/>
    </xf>
    <xf numFmtId="168" fontId="18" fillId="3" borderId="20" xfId="3" applyFont="1" applyFill="1" applyBorder="1" applyAlignment="1" applyProtection="1">
      <alignment horizontal="center" vertical="center"/>
    </xf>
    <xf numFmtId="168" fontId="18" fillId="3" borderId="2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3" fontId="12" fillId="0" borderId="12" xfId="3" applyNumberFormat="1" applyFont="1" applyFill="1" applyBorder="1" applyAlignment="1" applyProtection="1">
      <alignment horizontal="center" vertical="center"/>
    </xf>
    <xf numFmtId="164" fontId="19" fillId="0" borderId="12" xfId="5" applyFont="1" applyFill="1" applyBorder="1" applyAlignment="1">
      <alignment horizontal="center" vertical="center"/>
    </xf>
    <xf numFmtId="164" fontId="19" fillId="0" borderId="3" xfId="5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3" fontId="12" fillId="0" borderId="1" xfId="3" applyNumberFormat="1" applyFont="1" applyFill="1" applyBorder="1" applyAlignment="1" applyProtection="1">
      <alignment horizontal="center" vertical="center"/>
    </xf>
    <xf numFmtId="164" fontId="19" fillId="0" borderId="1" xfId="5" applyFont="1" applyFill="1" applyBorder="1" applyAlignment="1">
      <alignment horizontal="center" vertical="center"/>
    </xf>
    <xf numFmtId="164" fontId="19" fillId="0" borderId="5" xfId="5" applyFont="1" applyFill="1" applyBorder="1" applyAlignment="1">
      <alignment horizontal="center" vertical="center"/>
    </xf>
    <xf numFmtId="164" fontId="12" fillId="0" borderId="1" xfId="5" applyFont="1" applyFill="1" applyBorder="1" applyAlignment="1" applyProtection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12" fillId="0" borderId="13" xfId="3" applyNumberFormat="1" applyFont="1" applyFill="1" applyBorder="1" applyAlignment="1" applyProtection="1">
      <alignment horizontal="center" vertical="center"/>
    </xf>
    <xf numFmtId="164" fontId="12" fillId="0" borderId="13" xfId="5" applyFont="1" applyFill="1" applyBorder="1" applyAlignment="1" applyProtection="1">
      <alignment horizontal="center" vertical="center"/>
    </xf>
    <xf numFmtId="164" fontId="19" fillId="0" borderId="7" xfId="5" applyFont="1" applyFill="1" applyBorder="1" applyAlignment="1">
      <alignment horizontal="center" vertical="center"/>
    </xf>
    <xf numFmtId="4" fontId="18" fillId="3" borderId="18" xfId="0" applyNumberFormat="1" applyFont="1" applyFill="1" applyBorder="1" applyAlignment="1">
      <alignment horizontal="center" vertical="center"/>
    </xf>
    <xf numFmtId="168" fontId="12" fillId="0" borderId="0" xfId="3" applyFont="1" applyFill="1" applyBorder="1" applyAlignment="1" applyProtection="1">
      <alignment horizontal="center" vertical="center"/>
    </xf>
    <xf numFmtId="168" fontId="12" fillId="0" borderId="0" xfId="0" applyNumberFormat="1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4" fontId="12" fillId="0" borderId="12" xfId="3" applyNumberFormat="1" applyFont="1" applyFill="1" applyBorder="1" applyAlignment="1" applyProtection="1">
      <alignment horizontal="center" vertical="center"/>
    </xf>
    <xf numFmtId="4" fontId="18" fillId="0" borderId="3" xfId="3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" fontId="12" fillId="0" borderId="13" xfId="3" applyNumberFormat="1" applyFont="1" applyFill="1" applyBorder="1" applyAlignment="1" applyProtection="1">
      <alignment horizontal="center" vertical="center"/>
    </xf>
    <xf numFmtId="4" fontId="18" fillId="0" borderId="7" xfId="3" applyNumberFormat="1" applyFont="1" applyFill="1" applyBorder="1" applyAlignment="1" applyProtection="1">
      <alignment horizontal="center" vertical="center"/>
    </xf>
    <xf numFmtId="4" fontId="12" fillId="0" borderId="14" xfId="3" applyNumberFormat="1" applyFont="1" applyFill="1" applyBorder="1" applyAlignment="1" applyProtection="1">
      <alignment horizontal="center" vertical="center"/>
    </xf>
    <xf numFmtId="4" fontId="18" fillId="0" borderId="9" xfId="3" applyNumberFormat="1" applyFont="1" applyFill="1" applyBorder="1" applyAlignment="1" applyProtection="1">
      <alignment horizontal="center" vertical="center"/>
    </xf>
    <xf numFmtId="4" fontId="12" fillId="0" borderId="1" xfId="3" applyNumberFormat="1" applyFont="1" applyFill="1" applyBorder="1" applyAlignment="1" applyProtection="1">
      <alignment horizontal="center" vertical="center"/>
    </xf>
    <xf numFmtId="4" fontId="18" fillId="0" borderId="5" xfId="3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2" fontId="21" fillId="0" borderId="12" xfId="3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2" fontId="21" fillId="0" borderId="13" xfId="3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4" fontId="12" fillId="0" borderId="17" xfId="3" applyNumberFormat="1" applyFont="1" applyFill="1" applyBorder="1" applyAlignment="1" applyProtection="1">
      <alignment horizontal="center" vertical="center"/>
    </xf>
    <xf numFmtId="4" fontId="18" fillId="0" borderId="18" xfId="0" applyNumberFormat="1" applyFont="1" applyFill="1" applyBorder="1" applyAlignment="1">
      <alignment horizontal="center" vertical="center"/>
    </xf>
    <xf numFmtId="4" fontId="18" fillId="0" borderId="9" xfId="0" applyNumberFormat="1" applyFont="1" applyFill="1" applyBorder="1" applyAlignment="1">
      <alignment horizontal="center" vertical="center"/>
    </xf>
    <xf numFmtId="4" fontId="18" fillId="0" borderId="5" xfId="0" applyNumberFormat="1" applyFont="1" applyFill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center" vertical="center"/>
    </xf>
    <xf numFmtId="4" fontId="12" fillId="0" borderId="12" xfId="4" applyNumberFormat="1" applyFont="1" applyFill="1" applyBorder="1" applyAlignment="1" applyProtection="1">
      <alignment horizontal="center" vertical="center"/>
    </xf>
    <xf numFmtId="4" fontId="18" fillId="0" borderId="3" xfId="4" applyNumberFormat="1" applyFont="1" applyFill="1" applyBorder="1" applyAlignment="1" applyProtection="1">
      <alignment horizontal="center" vertical="center"/>
    </xf>
    <xf numFmtId="4" fontId="12" fillId="0" borderId="13" xfId="4" applyNumberFormat="1" applyFont="1" applyFill="1" applyBorder="1" applyAlignment="1" applyProtection="1">
      <alignment horizontal="center" vertical="center"/>
    </xf>
    <xf numFmtId="4" fontId="18" fillId="0" borderId="7" xfId="4" applyNumberFormat="1" applyFont="1" applyFill="1" applyBorder="1" applyAlignment="1" applyProtection="1">
      <alignment horizontal="center" vertical="center"/>
    </xf>
    <xf numFmtId="4" fontId="12" fillId="0" borderId="14" xfId="4" applyNumberFormat="1" applyFont="1" applyFill="1" applyBorder="1" applyAlignment="1" applyProtection="1">
      <alignment horizontal="center" vertical="center"/>
    </xf>
    <xf numFmtId="4" fontId="18" fillId="0" borderId="9" xfId="4" applyNumberFormat="1" applyFont="1" applyFill="1" applyBorder="1" applyAlignment="1" applyProtection="1">
      <alignment horizontal="center" vertical="center"/>
    </xf>
    <xf numFmtId="4" fontId="12" fillId="0" borderId="1" xfId="4" applyNumberFormat="1" applyFont="1" applyFill="1" applyBorder="1" applyAlignment="1" applyProtection="1">
      <alignment horizontal="center" vertical="center"/>
    </xf>
    <xf numFmtId="4" fontId="18" fillId="0" borderId="5" xfId="4" applyNumberFormat="1" applyFont="1" applyFill="1" applyBorder="1" applyAlignment="1" applyProtection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165" fontId="12" fillId="0" borderId="5" xfId="0" applyNumberFormat="1" applyFont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165" fontId="14" fillId="2" borderId="13" xfId="0" applyNumberFormat="1" applyFont="1" applyFill="1" applyBorder="1" applyAlignment="1">
      <alignment horizontal="center" vertical="center"/>
    </xf>
    <xf numFmtId="165" fontId="14" fillId="2" borderId="7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0" fontId="12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17" fillId="0" borderId="0" xfId="0" applyFont="1"/>
    <xf numFmtId="0" fontId="4" fillId="0" borderId="1" xfId="0" applyFont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5" borderId="49" xfId="0" applyFont="1" applyFill="1" applyBorder="1" applyAlignment="1">
      <alignment horizontal="center"/>
    </xf>
    <xf numFmtId="0" fontId="22" fillId="5" borderId="50" xfId="0" applyFont="1" applyFill="1" applyBorder="1" applyAlignment="1">
      <alignment horizontal="center"/>
    </xf>
    <xf numFmtId="0" fontId="22" fillId="5" borderId="51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164" fontId="22" fillId="5" borderId="7" xfId="5" applyFont="1" applyFill="1" applyBorder="1"/>
    <xf numFmtId="0" fontId="23" fillId="0" borderId="14" xfId="0" applyFont="1" applyBorder="1" applyAlignment="1">
      <alignment horizontal="center" vertical="center" wrapText="1"/>
    </xf>
    <xf numFmtId="164" fontId="23" fillId="0" borderId="14" xfId="0" applyNumberFormat="1" applyFont="1" applyBorder="1" applyAlignment="1">
      <alignment horizontal="center" vertical="center" wrapText="1"/>
    </xf>
    <xf numFmtId="2" fontId="17" fillId="0" borderId="14" xfId="0" applyNumberFormat="1" applyFont="1" applyBorder="1" applyAlignment="1">
      <alignment horizontal="center" vertical="center" wrapText="1"/>
    </xf>
    <xf numFmtId="43" fontId="23" fillId="0" borderId="14" xfId="0" applyNumberFormat="1" applyFont="1" applyBorder="1" applyAlignment="1">
      <alignment horizontal="right" vertical="center" wrapText="1"/>
    </xf>
    <xf numFmtId="164" fontId="23" fillId="0" borderId="14" xfId="5" applyFont="1" applyBorder="1" applyAlignment="1">
      <alignment horizontal="right" vertical="center" wrapText="1"/>
    </xf>
    <xf numFmtId="164" fontId="17" fillId="0" borderId="9" xfId="0" applyNumberFormat="1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43" fontId="23" fillId="0" borderId="1" xfId="0" applyNumberFormat="1" applyFont="1" applyBorder="1" applyAlignment="1">
      <alignment horizontal="right" vertical="center" wrapText="1"/>
    </xf>
    <xf numFmtId="164" fontId="23" fillId="0" borderId="1" xfId="5" applyFont="1" applyBorder="1" applyAlignment="1">
      <alignment horizontal="right" vertical="center" wrapText="1"/>
    </xf>
    <xf numFmtId="164" fontId="17" fillId="0" borderId="5" xfId="0" applyNumberFormat="1" applyFont="1" applyBorder="1" applyAlignment="1">
      <alignment vertical="center" wrapText="1"/>
    </xf>
    <xf numFmtId="0" fontId="23" fillId="0" borderId="1" xfId="0" applyFont="1" applyBorder="1" applyAlignment="1">
      <alignment horizontal="right" vertical="center" wrapText="1"/>
    </xf>
    <xf numFmtId="0" fontId="22" fillId="7" borderId="38" xfId="0" applyFont="1" applyFill="1" applyBorder="1" applyAlignment="1">
      <alignment horizontal="center" wrapText="1"/>
    </xf>
    <xf numFmtId="164" fontId="22" fillId="7" borderId="57" xfId="0" applyNumberFormat="1" applyFont="1" applyFill="1" applyBorder="1" applyAlignment="1">
      <alignment wrapText="1"/>
    </xf>
    <xf numFmtId="0" fontId="22" fillId="7" borderId="50" xfId="0" applyFont="1" applyFill="1" applyBorder="1" applyAlignment="1">
      <alignment horizontal="center" wrapText="1"/>
    </xf>
    <xf numFmtId="164" fontId="22" fillId="7" borderId="59" xfId="0" applyNumberFormat="1" applyFont="1" applyFill="1" applyBorder="1" applyAlignment="1">
      <alignment wrapText="1"/>
    </xf>
    <xf numFmtId="0" fontId="23" fillId="0" borderId="12" xfId="0" applyFont="1" applyBorder="1" applyAlignment="1">
      <alignment horizontal="center" vertical="center" wrapText="1"/>
    </xf>
    <xf numFmtId="164" fontId="23" fillId="0" borderId="12" xfId="0" applyNumberFormat="1" applyFont="1" applyBorder="1" applyAlignment="1">
      <alignment horizontal="center" vertical="center" wrapText="1"/>
    </xf>
    <xf numFmtId="2" fontId="17" fillId="0" borderId="12" xfId="0" applyNumberFormat="1" applyFont="1" applyBorder="1" applyAlignment="1">
      <alignment horizontal="center" vertical="center" wrapText="1"/>
    </xf>
    <xf numFmtId="2" fontId="23" fillId="0" borderId="12" xfId="0" applyNumberFormat="1" applyFont="1" applyBorder="1" applyAlignment="1">
      <alignment horizontal="center" vertical="center" wrapText="1"/>
    </xf>
    <xf numFmtId="164" fontId="17" fillId="0" borderId="3" xfId="0" applyNumberFormat="1" applyFont="1" applyBorder="1"/>
    <xf numFmtId="2" fontId="23" fillId="0" borderId="1" xfId="0" applyNumberFormat="1" applyFont="1" applyBorder="1" applyAlignment="1">
      <alignment horizontal="center" vertical="center" wrapText="1"/>
    </xf>
    <xf numFmtId="164" fontId="17" fillId="0" borderId="5" xfId="0" applyNumberFormat="1" applyFont="1" applyBorder="1"/>
    <xf numFmtId="0" fontId="23" fillId="0" borderId="26" xfId="0" applyFont="1" applyBorder="1" applyAlignment="1">
      <alignment horizontal="center" vertical="center" wrapText="1"/>
    </xf>
    <xf numFmtId="164" fontId="23" fillId="0" borderId="26" xfId="0" applyNumberFormat="1" applyFont="1" applyBorder="1" applyAlignment="1">
      <alignment horizontal="center" vertical="center" wrapText="1"/>
    </xf>
    <xf numFmtId="2" fontId="17" fillId="0" borderId="26" xfId="0" applyNumberFormat="1" applyFont="1" applyBorder="1" applyAlignment="1">
      <alignment horizontal="center" vertical="center" wrapText="1"/>
    </xf>
    <xf numFmtId="2" fontId="23" fillId="0" borderId="26" xfId="0" applyNumberFormat="1" applyFont="1" applyBorder="1" applyAlignment="1">
      <alignment horizontal="center" vertical="center" wrapText="1"/>
    </xf>
    <xf numFmtId="0" fontId="22" fillId="7" borderId="39" xfId="0" applyFont="1" applyFill="1" applyBorder="1" applyAlignment="1">
      <alignment horizontal="center" wrapText="1"/>
    </xf>
    <xf numFmtId="164" fontId="22" fillId="7" borderId="61" xfId="0" applyNumberFormat="1" applyFont="1" applyFill="1" applyBorder="1"/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164" fontId="17" fillId="0" borderId="1" xfId="5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4" fontId="22" fillId="5" borderId="5" xfId="5" applyFont="1" applyFill="1" applyBorder="1" applyAlignment="1">
      <alignment wrapText="1"/>
    </xf>
    <xf numFmtId="164" fontId="22" fillId="5" borderId="7" xfId="5" applyFont="1" applyFill="1" applyBorder="1" applyAlignment="1">
      <alignment wrapText="1"/>
    </xf>
    <xf numFmtId="0" fontId="22" fillId="2" borderId="3" xfId="0" applyFont="1" applyFill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164" fontId="17" fillId="0" borderId="5" xfId="0" applyNumberFormat="1" applyFont="1" applyBorder="1" applyAlignment="1">
      <alignment horizontal="center" vertical="center" wrapText="1"/>
    </xf>
    <xf numFmtId="0" fontId="22" fillId="5" borderId="48" xfId="0" applyFont="1" applyFill="1" applyBorder="1" applyAlignment="1">
      <alignment horizontal="center" wrapText="1"/>
    </xf>
    <xf numFmtId="0" fontId="22" fillId="5" borderId="45" xfId="0" applyFont="1" applyFill="1" applyBorder="1" applyAlignment="1">
      <alignment horizontal="center" wrapText="1"/>
    </xf>
    <xf numFmtId="0" fontId="22" fillId="5" borderId="44" xfId="0" applyFont="1" applyFill="1" applyBorder="1" applyAlignment="1">
      <alignment horizontal="center" wrapText="1"/>
    </xf>
    <xf numFmtId="0" fontId="22" fillId="5" borderId="49" xfId="0" applyFont="1" applyFill="1" applyBorder="1" applyAlignment="1">
      <alignment horizontal="center" wrapText="1"/>
    </xf>
    <xf numFmtId="0" fontId="22" fillId="5" borderId="50" xfId="0" applyFont="1" applyFill="1" applyBorder="1" applyAlignment="1">
      <alignment horizontal="center" wrapText="1"/>
    </xf>
    <xf numFmtId="0" fontId="22" fillId="5" borderId="5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165" fontId="12" fillId="0" borderId="7" xfId="0" applyNumberFormat="1" applyFont="1" applyBorder="1" applyAlignment="1">
      <alignment horizontal="center" vertical="center"/>
    </xf>
    <xf numFmtId="0" fontId="17" fillId="11" borderId="63" xfId="0" applyFont="1" applyFill="1" applyBorder="1" applyAlignment="1">
      <alignment horizontal="center" vertical="center"/>
    </xf>
    <xf numFmtId="0" fontId="17" fillId="11" borderId="63" xfId="0" applyFont="1" applyFill="1" applyBorder="1" applyAlignment="1">
      <alignment vertical="center" wrapText="1"/>
    </xf>
    <xf numFmtId="169" fontId="17" fillId="11" borderId="63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11" borderId="63" xfId="0" applyFont="1" applyFill="1" applyBorder="1" applyAlignment="1">
      <alignment vertical="center"/>
    </xf>
    <xf numFmtId="0" fontId="17" fillId="11" borderId="64" xfId="0" applyFont="1" applyFill="1" applyBorder="1" applyAlignment="1">
      <alignment horizontal="center" vertical="center"/>
    </xf>
    <xf numFmtId="169" fontId="17" fillId="11" borderId="65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169" fontId="17" fillId="0" borderId="0" xfId="0" applyNumberFormat="1" applyFont="1" applyFill="1" applyBorder="1" applyAlignment="1">
      <alignment vertical="center"/>
    </xf>
    <xf numFmtId="169" fontId="17" fillId="10" borderId="1" xfId="0" applyNumberFormat="1" applyFont="1" applyFill="1" applyBorder="1" applyAlignment="1">
      <alignment vertical="center"/>
    </xf>
    <xf numFmtId="169" fontId="17" fillId="12" borderId="1" xfId="0" applyNumberFormat="1" applyFont="1" applyFill="1" applyBorder="1" applyAlignment="1">
      <alignment vertical="center"/>
    </xf>
    <xf numFmtId="169" fontId="17" fillId="13" borderId="1" xfId="0" applyNumberFormat="1" applyFont="1" applyFill="1" applyBorder="1" applyAlignment="1">
      <alignment vertical="center"/>
    </xf>
    <xf numFmtId="0" fontId="22" fillId="15" borderId="66" xfId="0" applyFont="1" applyFill="1" applyBorder="1" applyAlignment="1">
      <alignment horizontal="center" vertical="center"/>
    </xf>
    <xf numFmtId="0" fontId="22" fillId="15" borderId="66" xfId="0" applyFont="1" applyFill="1" applyBorder="1" applyAlignment="1">
      <alignment vertical="center"/>
    </xf>
    <xf numFmtId="0" fontId="22" fillId="15" borderId="66" xfId="0" applyFont="1" applyFill="1" applyBorder="1" applyAlignment="1">
      <alignment horizontal="center" vertical="center" wrapText="1"/>
    </xf>
    <xf numFmtId="169" fontId="22" fillId="15" borderId="66" xfId="0" applyNumberFormat="1" applyFont="1" applyFill="1" applyBorder="1" applyAlignment="1">
      <alignment horizontal="center" vertical="center" wrapText="1"/>
    </xf>
    <xf numFmtId="0" fontId="17" fillId="0" borderId="63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vertical="center" wrapText="1"/>
    </xf>
    <xf numFmtId="0" fontId="17" fillId="0" borderId="63" xfId="0" applyFont="1" applyFill="1" applyBorder="1" applyAlignment="1">
      <alignment horizontal="center" vertical="center" wrapText="1"/>
    </xf>
    <xf numFmtId="169" fontId="17" fillId="0" borderId="63" xfId="0" applyNumberFormat="1" applyFont="1" applyFill="1" applyBorder="1" applyAlignment="1">
      <alignment horizontal="right" vertical="center"/>
    </xf>
    <xf numFmtId="169" fontId="17" fillId="0" borderId="63" xfId="0" applyNumberFormat="1" applyFont="1" applyFill="1" applyBorder="1" applyAlignment="1">
      <alignment vertical="center"/>
    </xf>
    <xf numFmtId="169" fontId="17" fillId="0" borderId="63" xfId="0" applyNumberFormat="1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left" vertical="center" wrapText="1"/>
    </xf>
    <xf numFmtId="0" fontId="17" fillId="0" borderId="65" xfId="0" applyFont="1" applyFill="1" applyBorder="1" applyAlignment="1">
      <alignment horizontal="center" vertical="center"/>
    </xf>
    <xf numFmtId="0" fontId="17" fillId="0" borderId="65" xfId="0" applyFont="1" applyFill="1" applyBorder="1" applyAlignment="1">
      <alignment vertical="center" wrapText="1"/>
    </xf>
    <xf numFmtId="0" fontId="17" fillId="0" borderId="65" xfId="0" applyFont="1" applyFill="1" applyBorder="1" applyAlignment="1">
      <alignment horizontal="center" vertical="center" wrapText="1"/>
    </xf>
    <xf numFmtId="169" fontId="17" fillId="0" borderId="65" xfId="0" applyNumberFormat="1" applyFont="1" applyFill="1" applyBorder="1" applyAlignment="1">
      <alignment horizontal="right" vertical="center"/>
    </xf>
    <xf numFmtId="169" fontId="17" fillId="0" borderId="65" xfId="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4" fontId="22" fillId="7" borderId="57" xfId="0" applyNumberFormat="1" applyFont="1" applyFill="1" applyBorder="1"/>
    <xf numFmtId="164" fontId="3" fillId="10" borderId="1" xfId="0" applyNumberFormat="1" applyFont="1" applyFill="1" applyBorder="1"/>
    <xf numFmtId="164" fontId="5" fillId="10" borderId="1" xfId="0" applyNumberFormat="1" applyFont="1" applyFill="1" applyBorder="1"/>
    <xf numFmtId="0" fontId="17" fillId="11" borderId="67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10" borderId="1" xfId="0" applyFont="1" applyFill="1" applyBorder="1" applyAlignment="1">
      <alignment horizontal="center"/>
    </xf>
    <xf numFmtId="0" fontId="10" fillId="7" borderId="56" xfId="0" applyFont="1" applyFill="1" applyBorder="1" applyAlignment="1">
      <alignment horizontal="center" vertical="center" wrapText="1"/>
    </xf>
    <xf numFmtId="0" fontId="10" fillId="7" borderId="62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22" fillId="7" borderId="37" xfId="0" applyFont="1" applyFill="1" applyBorder="1" applyAlignment="1">
      <alignment horizontal="center"/>
    </xf>
    <xf numFmtId="0" fontId="22" fillId="7" borderId="38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0" borderId="60" xfId="0" applyFont="1" applyBorder="1" applyAlignment="1">
      <alignment horizontal="center" vertical="center" textRotation="90"/>
    </xf>
    <xf numFmtId="0" fontId="10" fillId="9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55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2" fillId="7" borderId="37" xfId="0" applyFont="1" applyFill="1" applyBorder="1" applyAlignment="1">
      <alignment horizontal="center" wrapText="1"/>
    </xf>
    <xf numFmtId="0" fontId="22" fillId="7" borderId="38" xfId="0" applyFont="1" applyFill="1" applyBorder="1" applyAlignment="1">
      <alignment horizontal="center" wrapText="1"/>
    </xf>
    <xf numFmtId="0" fontId="22" fillId="7" borderId="58" xfId="0" applyFont="1" applyFill="1" applyBorder="1" applyAlignment="1">
      <alignment horizontal="center" wrapText="1"/>
    </xf>
    <xf numFmtId="0" fontId="22" fillId="7" borderId="50" xfId="0" applyFont="1" applyFill="1" applyBorder="1" applyAlignment="1">
      <alignment horizontal="center" wrapText="1"/>
    </xf>
    <xf numFmtId="0" fontId="10" fillId="7" borderId="1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7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165" fontId="12" fillId="0" borderId="47" xfId="0" applyNumberFormat="1" applyFont="1" applyBorder="1" applyAlignment="1">
      <alignment horizontal="center" vertical="center"/>
    </xf>
    <xf numFmtId="165" fontId="12" fillId="0" borderId="44" xfId="0" applyNumberFormat="1" applyFont="1" applyBorder="1" applyAlignment="1">
      <alignment horizontal="center" vertical="center"/>
    </xf>
    <xf numFmtId="165" fontId="12" fillId="0" borderId="58" xfId="0" applyNumberFormat="1" applyFont="1" applyBorder="1" applyAlignment="1">
      <alignment horizontal="center" vertical="center"/>
    </xf>
    <xf numFmtId="165" fontId="12" fillId="0" borderId="51" xfId="0" applyNumberFormat="1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20" fillId="3" borderId="28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 vertical="center"/>
    </xf>
    <xf numFmtId="0" fontId="20" fillId="3" borderId="3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5" fillId="2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45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5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 wrapText="1"/>
    </xf>
    <xf numFmtId="0" fontId="18" fillId="3" borderId="28" xfId="0" applyFont="1" applyFill="1" applyBorder="1" applyAlignment="1">
      <alignment horizontal="center" vertical="center"/>
    </xf>
    <xf numFmtId="0" fontId="18" fillId="3" borderId="29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22" fillId="2" borderId="52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22" fillId="2" borderId="19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wrapText="1"/>
    </xf>
    <xf numFmtId="0" fontId="22" fillId="5" borderId="1" xfId="0" applyFont="1" applyFill="1" applyBorder="1" applyAlignment="1">
      <alignment horizontal="center" wrapText="1"/>
    </xf>
    <xf numFmtId="0" fontId="22" fillId="5" borderId="6" xfId="0" applyFont="1" applyFill="1" applyBorder="1" applyAlignment="1">
      <alignment horizontal="center" wrapText="1"/>
    </xf>
    <xf numFmtId="0" fontId="22" fillId="5" borderId="13" xfId="0" applyFont="1" applyFill="1" applyBorder="1" applyAlignment="1">
      <alignment horizontal="center" wrapText="1"/>
    </xf>
    <xf numFmtId="0" fontId="22" fillId="6" borderId="28" xfId="0" applyFont="1" applyFill="1" applyBorder="1" applyAlignment="1">
      <alignment horizontal="center" vertical="center" wrapText="1"/>
    </xf>
    <xf numFmtId="0" fontId="22" fillId="6" borderId="29" xfId="0" applyFont="1" applyFill="1" applyBorder="1" applyAlignment="1">
      <alignment horizontal="center" vertical="center" wrapText="1"/>
    </xf>
    <xf numFmtId="0" fontId="22" fillId="6" borderId="30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vertical="center"/>
    </xf>
  </cellXfs>
  <cellStyles count="6">
    <cellStyle name="Moeda" xfId="5" builtinId="4"/>
    <cellStyle name="Normal" xfId="0" builtinId="0"/>
    <cellStyle name="Porcentagem" xfId="1" builtinId="5"/>
    <cellStyle name="Vírgula" xfId="2" builtinId="3"/>
    <cellStyle name="Vírgula 2" xfId="3"/>
    <cellStyle name="Vírgula 4" xfId="4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www.google.com.br/imgres?imgurl=http://cref8.org.br/site/wp-content/uploads/2011/06/Bras%C3%A3o-da-Rep%C3%BAblica1.jpg&amp;imgrefurl=http://cref8.org.br/site/notatecnica03-10mec/&amp;usg=__cF8mxwq3b0zbQAz4fV77QNPRT08=&amp;h=388&amp;w=370&amp;sz=52&amp;hl=pt-BR&amp;start=5&amp;sig2=nem4V2AEDtqcnZxAyeei1A&amp;zoom=1&amp;tbnid=zEhoGL_juWCj0M:&amp;tbnh=123&amp;tbnw=117&amp;ei=t4AyT_D4NYrhggeIxe2XBQ&amp;prev=/search?q=simbolo+do+ministerio+da+educa%C3%A7%C3%A3o+-+jpg&amp;hl=pt-BR&amp;sa=N&amp;gbv=2&amp;tbm=isch&amp;itbs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352425</xdr:rowOff>
    </xdr:from>
    <xdr:to>
      <xdr:col>1</xdr:col>
      <xdr:colOff>433107</xdr:colOff>
      <xdr:row>0</xdr:row>
      <xdr:rowOff>1238250</xdr:rowOff>
    </xdr:to>
    <xdr:pic>
      <xdr:nvPicPr>
        <xdr:cNvPr id="2" name="Imagem 1" descr="http://t0.gstatic.com/images?q=tbn:ANd9GcS2NRuyrrTZSsTg6bOPfj7IvZV5L9pD5XI6hoIV52pEGbjL4h7lorkWtw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57175" y="352425"/>
          <a:ext cx="847725" cy="8858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819150</xdr:colOff>
      <xdr:row>0</xdr:row>
      <xdr:rowOff>295275</xdr:rowOff>
    </xdr:from>
    <xdr:to>
      <xdr:col>3</xdr:col>
      <xdr:colOff>581025</xdr:colOff>
      <xdr:row>0</xdr:row>
      <xdr:rowOff>1181100</xdr:rowOff>
    </xdr:to>
    <xdr:pic>
      <xdr:nvPicPr>
        <xdr:cNvPr id="3" name="Imagem 2" descr="C:\Users\UFAM-DESIGN\Desktop\AgenciaExperimental\ufam.pn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248275" y="295275"/>
          <a:ext cx="7334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view="pageBreakPreview" topLeftCell="A8" zoomScale="85" zoomScaleNormal="100" zoomScaleSheetLayoutView="85" workbookViewId="0">
      <selection activeCell="C17" sqref="C17"/>
    </sheetView>
  </sheetViews>
  <sheetFormatPr defaultRowHeight="15" x14ac:dyDescent="0.25"/>
  <cols>
    <col min="1" max="1" width="5.42578125" customWidth="1"/>
    <col min="2" max="2" width="10" customWidth="1"/>
    <col min="3" max="3" width="19.7109375" customWidth="1"/>
    <col min="4" max="4" width="9.85546875" customWidth="1"/>
    <col min="5" max="5" width="14.140625" customWidth="1"/>
    <col min="6" max="6" width="10.7109375" customWidth="1"/>
    <col min="7" max="7" width="12.5703125" customWidth="1"/>
    <col min="8" max="8" width="16.140625" customWidth="1"/>
  </cols>
  <sheetData>
    <row r="1" spans="1:9" ht="75" hidden="1" customHeight="1" x14ac:dyDescent="0.25">
      <c r="A1" s="335" t="s">
        <v>268</v>
      </c>
      <c r="B1" s="335"/>
      <c r="C1" s="335"/>
      <c r="D1" s="335"/>
      <c r="E1" s="335"/>
      <c r="F1" s="335"/>
      <c r="G1" s="335"/>
      <c r="H1" s="335"/>
    </row>
    <row r="2" spans="1:9" x14ac:dyDescent="0.25">
      <c r="A2" s="332" t="s">
        <v>352</v>
      </c>
      <c r="B2" s="332"/>
      <c r="C2" s="332"/>
      <c r="D2" s="332"/>
      <c r="E2" s="332"/>
      <c r="F2" s="332"/>
      <c r="G2" s="332"/>
      <c r="H2" s="332"/>
    </row>
    <row r="3" spans="1:9" x14ac:dyDescent="0.25">
      <c r="A3" s="332" t="s">
        <v>353</v>
      </c>
      <c r="B3" s="332"/>
      <c r="C3" s="332"/>
      <c r="D3" s="332"/>
      <c r="E3" s="332"/>
      <c r="F3" s="332"/>
      <c r="G3" s="332"/>
      <c r="H3" s="332"/>
    </row>
    <row r="4" spans="1:9" x14ac:dyDescent="0.25">
      <c r="A4" s="332"/>
      <c r="B4" s="332"/>
      <c r="C4" s="332"/>
      <c r="D4" s="332"/>
      <c r="E4" s="332"/>
      <c r="F4" s="332"/>
      <c r="G4" s="332"/>
      <c r="H4" s="332"/>
    </row>
    <row r="5" spans="1:9" ht="34.5" customHeight="1" x14ac:dyDescent="0.25">
      <c r="A5" s="333" t="s">
        <v>354</v>
      </c>
      <c r="B5" s="333"/>
      <c r="C5" s="333"/>
      <c r="D5" s="333"/>
      <c r="E5" s="333"/>
      <c r="F5" s="333"/>
      <c r="G5" s="333"/>
      <c r="H5" s="333"/>
    </row>
    <row r="6" spans="1:9" x14ac:dyDescent="0.25">
      <c r="A6" s="332" t="s">
        <v>355</v>
      </c>
      <c r="B6" s="332"/>
      <c r="C6" s="332"/>
      <c r="D6" s="332"/>
      <c r="E6" s="332"/>
      <c r="F6" s="332"/>
      <c r="G6" s="332"/>
      <c r="H6" s="332"/>
    </row>
    <row r="7" spans="1:9" x14ac:dyDescent="0.25">
      <c r="A7" s="332"/>
      <c r="B7" s="332"/>
      <c r="C7" s="332"/>
      <c r="D7" s="332"/>
      <c r="E7" s="332"/>
      <c r="F7" s="332"/>
      <c r="G7" s="332"/>
      <c r="H7" s="332"/>
    </row>
    <row r="8" spans="1:9" x14ac:dyDescent="0.25">
      <c r="A8" s="334" t="s">
        <v>356</v>
      </c>
      <c r="B8" s="334"/>
      <c r="C8" s="334"/>
      <c r="D8" s="334"/>
      <c r="E8" s="334"/>
      <c r="F8" s="334"/>
      <c r="G8" s="334"/>
      <c r="H8" s="334"/>
    </row>
    <row r="9" spans="1:9" x14ac:dyDescent="0.25">
      <c r="A9" s="334"/>
      <c r="B9" s="334"/>
      <c r="C9" s="334"/>
      <c r="D9" s="334"/>
      <c r="E9" s="334"/>
      <c r="F9" s="334"/>
      <c r="G9" s="334"/>
      <c r="H9" s="334"/>
    </row>
    <row r="10" spans="1:9" x14ac:dyDescent="0.25">
      <c r="A10" s="334" t="s">
        <v>369</v>
      </c>
      <c r="B10" s="334"/>
      <c r="C10" s="334"/>
      <c r="D10" s="334"/>
      <c r="E10" s="334"/>
      <c r="F10" s="334"/>
      <c r="G10" s="334"/>
      <c r="H10" s="334"/>
    </row>
    <row r="11" spans="1:9" x14ac:dyDescent="0.25">
      <c r="A11" s="334"/>
      <c r="B11" s="334"/>
      <c r="C11" s="334"/>
      <c r="D11" s="334"/>
      <c r="E11" s="334"/>
      <c r="F11" s="334"/>
      <c r="G11" s="334"/>
      <c r="H11" s="334"/>
    </row>
    <row r="12" spans="1:9" x14ac:dyDescent="0.25">
      <c r="A12" s="334" t="s">
        <v>357</v>
      </c>
      <c r="B12" s="334"/>
      <c r="C12" s="334"/>
      <c r="D12" s="334"/>
      <c r="E12" s="334"/>
      <c r="F12" s="334"/>
      <c r="G12" s="334"/>
      <c r="H12" s="334"/>
      <c r="I12" s="5"/>
    </row>
    <row r="13" spans="1:9" x14ac:dyDescent="0.25">
      <c r="A13" s="334" t="s">
        <v>358</v>
      </c>
      <c r="B13" s="334"/>
      <c r="C13" s="334"/>
      <c r="D13" s="334"/>
      <c r="E13" s="334"/>
      <c r="F13" s="334"/>
      <c r="G13" s="334"/>
      <c r="H13" s="334"/>
      <c r="I13" s="5"/>
    </row>
    <row r="14" spans="1:9" x14ac:dyDescent="0.25">
      <c r="A14" s="334" t="s">
        <v>359</v>
      </c>
      <c r="B14" s="334"/>
      <c r="C14" s="334"/>
      <c r="D14" s="334"/>
      <c r="E14" s="334"/>
      <c r="F14" s="334"/>
      <c r="G14" s="334"/>
      <c r="H14" s="334"/>
      <c r="I14" s="5"/>
    </row>
    <row r="15" spans="1:9" x14ac:dyDescent="0.25">
      <c r="A15" s="334" t="s">
        <v>360</v>
      </c>
      <c r="B15" s="334"/>
      <c r="C15" s="334"/>
      <c r="D15" s="334"/>
      <c r="E15" s="334"/>
      <c r="F15" s="334"/>
      <c r="G15" s="334"/>
      <c r="H15" s="334"/>
      <c r="I15" s="5"/>
    </row>
    <row r="16" spans="1:9" x14ac:dyDescent="0.25">
      <c r="A16" s="334" t="s">
        <v>361</v>
      </c>
      <c r="B16" s="334"/>
      <c r="C16" s="334"/>
      <c r="D16" s="334"/>
      <c r="E16" s="334"/>
      <c r="F16" s="334"/>
      <c r="G16" s="334"/>
      <c r="H16" s="334"/>
      <c r="I16" s="5"/>
    </row>
    <row r="17" spans="1:8" ht="9.75" customHeight="1" thickBot="1" x14ac:dyDescent="0.3">
      <c r="A17" s="224"/>
      <c r="B17" s="224"/>
      <c r="C17" s="224"/>
      <c r="D17" s="224"/>
      <c r="E17" s="224"/>
      <c r="F17" s="224"/>
      <c r="G17" s="224"/>
      <c r="H17" s="224"/>
    </row>
    <row r="18" spans="1:8" ht="18.75" customHeight="1" x14ac:dyDescent="0.25">
      <c r="A18" s="349" t="s">
        <v>261</v>
      </c>
      <c r="B18" s="350"/>
      <c r="C18" s="350"/>
      <c r="D18" s="350"/>
      <c r="E18" s="350"/>
      <c r="F18" s="350"/>
      <c r="G18" s="350"/>
      <c r="H18" s="351"/>
    </row>
    <row r="19" spans="1:8" ht="15" customHeight="1" x14ac:dyDescent="0.25">
      <c r="A19" s="337" t="s">
        <v>155</v>
      </c>
      <c r="B19" s="360" t="s">
        <v>266</v>
      </c>
      <c r="C19" s="360"/>
      <c r="D19" s="352" t="s">
        <v>253</v>
      </c>
      <c r="E19" s="352" t="s">
        <v>220</v>
      </c>
      <c r="F19" s="352" t="s">
        <v>221</v>
      </c>
      <c r="G19" s="352" t="s">
        <v>260</v>
      </c>
      <c r="H19" s="354" t="s">
        <v>222</v>
      </c>
    </row>
    <row r="20" spans="1:8" ht="51" customHeight="1" thickBot="1" x14ac:dyDescent="0.3">
      <c r="A20" s="338"/>
      <c r="B20" s="361"/>
      <c r="C20" s="361"/>
      <c r="D20" s="353"/>
      <c r="E20" s="353"/>
      <c r="F20" s="353"/>
      <c r="G20" s="353"/>
      <c r="H20" s="355"/>
    </row>
    <row r="21" spans="1:8" ht="15" customHeight="1" x14ac:dyDescent="0.25">
      <c r="A21" s="345" t="s">
        <v>263</v>
      </c>
      <c r="B21" s="340" t="s">
        <v>223</v>
      </c>
      <c r="C21" s="240" t="s">
        <v>205</v>
      </c>
      <c r="D21" s="241">
        <f>COMPLEMENTO!F12</f>
        <v>0.849316660379138</v>
      </c>
      <c r="E21" s="242">
        <v>1200</v>
      </c>
      <c r="F21" s="243">
        <v>2792.0639999999989</v>
      </c>
      <c r="G21" s="244">
        <v>2290.1522772684875</v>
      </c>
      <c r="H21" s="245">
        <f>D21*G21</f>
        <v>1945.0644838893495</v>
      </c>
    </row>
    <row r="22" spans="1:8" x14ac:dyDescent="0.25">
      <c r="A22" s="345"/>
      <c r="B22" s="340"/>
      <c r="C22" s="246" t="s">
        <v>206</v>
      </c>
      <c r="D22" s="247">
        <f>COMPLEMENTO!F22</f>
        <v>2.2648444276777013</v>
      </c>
      <c r="E22" s="248">
        <v>450</v>
      </c>
      <c r="F22" s="249">
        <v>1633.1089999999995</v>
      </c>
      <c r="G22" s="250">
        <v>626.78150688068126</v>
      </c>
      <c r="H22" s="251">
        <f t="shared" ref="H22:H30" si="0">D22*G22</f>
        <v>1419.5626032301438</v>
      </c>
    </row>
    <row r="23" spans="1:8" ht="28.5" x14ac:dyDescent="0.25">
      <c r="A23" s="345"/>
      <c r="B23" s="340"/>
      <c r="C23" s="246" t="s">
        <v>207</v>
      </c>
      <c r="D23" s="247">
        <f>COMPLEMENTO!F31</f>
        <v>0.4076719969819862</v>
      </c>
      <c r="E23" s="248">
        <v>2500</v>
      </c>
      <c r="F23" s="249">
        <v>275.40549999999996</v>
      </c>
      <c r="G23" s="250">
        <v>179.99217935349321</v>
      </c>
      <c r="H23" s="251">
        <f t="shared" si="0"/>
        <v>73.377771198178408</v>
      </c>
    </row>
    <row r="24" spans="1:8" ht="28.5" x14ac:dyDescent="0.25">
      <c r="A24" s="345"/>
      <c r="B24" s="340"/>
      <c r="C24" s="246" t="s">
        <v>208</v>
      </c>
      <c r="D24" s="247">
        <v>2.7</v>
      </c>
      <c r="E24" s="248">
        <v>1500</v>
      </c>
      <c r="F24" s="249">
        <v>1604.5625000000002</v>
      </c>
      <c r="G24" s="250">
        <v>1531.9328142777706</v>
      </c>
      <c r="H24" s="251">
        <f t="shared" si="0"/>
        <v>4136.2185985499809</v>
      </c>
    </row>
    <row r="25" spans="1:8" x14ac:dyDescent="0.25">
      <c r="A25" s="345"/>
      <c r="B25" s="341"/>
      <c r="C25" s="246" t="s">
        <v>209</v>
      </c>
      <c r="D25" s="247">
        <f>COMPLEMENTO!F49</f>
        <v>3.397266641516552</v>
      </c>
      <c r="E25" s="248">
        <v>300</v>
      </c>
      <c r="F25" s="249">
        <v>304.065</v>
      </c>
      <c r="G25" s="250">
        <v>162.85714285714289</v>
      </c>
      <c r="H25" s="251">
        <f t="shared" si="0"/>
        <v>553.26913876126719</v>
      </c>
    </row>
    <row r="26" spans="1:8" ht="42.75" x14ac:dyDescent="0.25">
      <c r="A26" s="345"/>
      <c r="B26" s="342" t="s">
        <v>224</v>
      </c>
      <c r="C26" s="246" t="s">
        <v>210</v>
      </c>
      <c r="D26" s="247">
        <f>COMPLEMENTO!F58</f>
        <v>0.11324222138388507</v>
      </c>
      <c r="E26" s="248">
        <v>9000</v>
      </c>
      <c r="F26" s="249">
        <v>1209.1000000000001</v>
      </c>
      <c r="G26" s="250">
        <v>914.44537815126068</v>
      </c>
      <c r="H26" s="251">
        <f t="shared" si="0"/>
        <v>103.55382595607556</v>
      </c>
    </row>
    <row r="27" spans="1:8" ht="57" x14ac:dyDescent="0.25">
      <c r="A27" s="345"/>
      <c r="B27" s="341"/>
      <c r="C27" s="246" t="s">
        <v>213</v>
      </c>
      <c r="D27" s="247">
        <f>COMPLEMENTO!F67</f>
        <v>0.37747407127961685</v>
      </c>
      <c r="E27" s="248">
        <v>2700</v>
      </c>
      <c r="F27" s="249">
        <v>865.66800000000001</v>
      </c>
      <c r="G27" s="250">
        <v>779.10120000000006</v>
      </c>
      <c r="H27" s="251">
        <f t="shared" si="0"/>
        <v>294.09050190283506</v>
      </c>
    </row>
    <row r="28" spans="1:8" ht="28.5" x14ac:dyDescent="0.25">
      <c r="A28" s="345"/>
      <c r="B28" s="342" t="s">
        <v>225</v>
      </c>
      <c r="C28" s="246" t="s">
        <v>241</v>
      </c>
      <c r="D28" s="247">
        <f>COMPLEMENTO!H85</f>
        <v>8.2812423894246853E-2</v>
      </c>
      <c r="E28" s="248">
        <f>160*15</f>
        <v>2400</v>
      </c>
      <c r="F28" s="252">
        <v>360.66300000000001</v>
      </c>
      <c r="G28" s="250">
        <v>283.3780714285715</v>
      </c>
      <c r="H28" s="251">
        <f t="shared" si="0"/>
        <v>23.467224973477027</v>
      </c>
    </row>
    <row r="29" spans="1:8" ht="28.5" x14ac:dyDescent="0.25">
      <c r="A29" s="345"/>
      <c r="B29" s="340"/>
      <c r="C29" s="246" t="s">
        <v>242</v>
      </c>
      <c r="D29" s="247">
        <f>COMPLEMENTO!H76</f>
        <v>1.8499854314813088E-2</v>
      </c>
      <c r="E29" s="248">
        <f>380*15</f>
        <v>5700</v>
      </c>
      <c r="F29" s="252">
        <v>312.46600000000001</v>
      </c>
      <c r="G29" s="250">
        <v>583.08387500000003</v>
      </c>
      <c r="H29" s="251">
        <f t="shared" si="0"/>
        <v>10.786966740816686</v>
      </c>
    </row>
    <row r="30" spans="1:8" x14ac:dyDescent="0.25">
      <c r="A30" s="345"/>
      <c r="B30" s="341"/>
      <c r="C30" s="246" t="s">
        <v>243</v>
      </c>
      <c r="D30" s="247">
        <f>COMPLEMENTO!H94</f>
        <v>9.5937800563454675E-2</v>
      </c>
      <c r="E30" s="248">
        <f>380*15</f>
        <v>5700</v>
      </c>
      <c r="F30" s="252">
        <v>1255.3858000000002</v>
      </c>
      <c r="G30" s="250">
        <v>2342.639573214286</v>
      </c>
      <c r="H30" s="251">
        <f t="shared" si="0"/>
        <v>224.74768816708874</v>
      </c>
    </row>
    <row r="31" spans="1:8" ht="15.75" thickBot="1" x14ac:dyDescent="0.3">
      <c r="A31" s="345"/>
      <c r="B31" s="356" t="s">
        <v>226</v>
      </c>
      <c r="C31" s="357"/>
      <c r="D31" s="357"/>
      <c r="E31" s="357"/>
      <c r="F31" s="357"/>
      <c r="G31" s="253"/>
      <c r="H31" s="254">
        <f>SUM(H21:H30)</f>
        <v>8784.138803369211</v>
      </c>
    </row>
    <row r="32" spans="1:8" ht="15.75" hidden="1" thickBot="1" x14ac:dyDescent="0.3">
      <c r="A32" s="346"/>
      <c r="B32" s="358" t="s">
        <v>254</v>
      </c>
      <c r="C32" s="359"/>
      <c r="D32" s="359"/>
      <c r="E32" s="359"/>
      <c r="F32" s="359"/>
      <c r="G32" s="255"/>
      <c r="H32" s="256">
        <f>H31*12</f>
        <v>105409.66564043052</v>
      </c>
    </row>
    <row r="33" spans="1:8" ht="15" customHeight="1" x14ac:dyDescent="0.25">
      <c r="A33" s="347" t="s">
        <v>262</v>
      </c>
      <c r="B33" s="339" t="s">
        <v>223</v>
      </c>
      <c r="C33" s="257" t="s">
        <v>205</v>
      </c>
      <c r="D33" s="258">
        <f>D21</f>
        <v>0.849316660379138</v>
      </c>
      <c r="E33" s="259">
        <v>1200</v>
      </c>
      <c r="F33" s="260">
        <v>2039.8999999999999</v>
      </c>
      <c r="G33" s="260">
        <v>1804.4493644041254</v>
      </c>
      <c r="H33" s="261">
        <f>D33*G33</f>
        <v>1532.54890799897</v>
      </c>
    </row>
    <row r="34" spans="1:8" x14ac:dyDescent="0.25">
      <c r="A34" s="345"/>
      <c r="B34" s="340"/>
      <c r="C34" s="246" t="s">
        <v>206</v>
      </c>
      <c r="D34" s="247">
        <f t="shared" ref="D34:D42" si="1">D22</f>
        <v>2.2648444276777013</v>
      </c>
      <c r="E34" s="248">
        <v>450</v>
      </c>
      <c r="F34" s="262">
        <v>721.15</v>
      </c>
      <c r="G34" s="262">
        <v>520.14345247635845</v>
      </c>
      <c r="H34" s="263">
        <f t="shared" ref="H34:H42" si="2">D34*G34</f>
        <v>1178.0439999341218</v>
      </c>
    </row>
    <row r="35" spans="1:8" ht="28.5" x14ac:dyDescent="0.25">
      <c r="A35" s="345"/>
      <c r="B35" s="340"/>
      <c r="C35" s="246" t="s">
        <v>207</v>
      </c>
      <c r="D35" s="247">
        <f t="shared" si="1"/>
        <v>0.4076719969819862</v>
      </c>
      <c r="E35" s="248">
        <v>2500</v>
      </c>
      <c r="F35" s="262">
        <v>175.4</v>
      </c>
      <c r="G35" s="262">
        <v>148.54883559263115</v>
      </c>
      <c r="H35" s="263">
        <f t="shared" si="2"/>
        <v>60.559200455396692</v>
      </c>
    </row>
    <row r="36" spans="1:8" ht="28.5" x14ac:dyDescent="0.25">
      <c r="A36" s="345"/>
      <c r="B36" s="340"/>
      <c r="C36" s="246" t="s">
        <v>208</v>
      </c>
      <c r="D36" s="247">
        <f t="shared" si="1"/>
        <v>2.7</v>
      </c>
      <c r="E36" s="248">
        <v>1500</v>
      </c>
      <c r="F36" s="262">
        <v>1094.9000000000001</v>
      </c>
      <c r="G36" s="262">
        <v>938.68936599868198</v>
      </c>
      <c r="H36" s="263">
        <f t="shared" si="2"/>
        <v>2534.4612881964417</v>
      </c>
    </row>
    <row r="37" spans="1:8" x14ac:dyDescent="0.25">
      <c r="A37" s="345"/>
      <c r="B37" s="341"/>
      <c r="C37" s="246" t="s">
        <v>209</v>
      </c>
      <c r="D37" s="247">
        <f t="shared" si="1"/>
        <v>3.397266641516552</v>
      </c>
      <c r="E37" s="248">
        <v>300</v>
      </c>
      <c r="F37" s="262">
        <v>170</v>
      </c>
      <c r="G37" s="262">
        <v>83.028083028083017</v>
      </c>
      <c r="H37" s="263">
        <f t="shared" si="2"/>
        <v>282.06853678037305</v>
      </c>
    </row>
    <row r="38" spans="1:8" ht="42.75" x14ac:dyDescent="0.25">
      <c r="A38" s="345"/>
      <c r="B38" s="342" t="s">
        <v>224</v>
      </c>
      <c r="C38" s="246" t="s">
        <v>210</v>
      </c>
      <c r="D38" s="247">
        <f t="shared" si="1"/>
        <v>0.11324222138388507</v>
      </c>
      <c r="E38" s="248">
        <v>9000</v>
      </c>
      <c r="F38" s="262">
        <v>2146.25</v>
      </c>
      <c r="G38" s="262">
        <v>1623.2142857142858</v>
      </c>
      <c r="H38" s="263">
        <f t="shared" si="2"/>
        <v>183.81639149634202</v>
      </c>
    </row>
    <row r="39" spans="1:8" ht="57" x14ac:dyDescent="0.25">
      <c r="A39" s="345"/>
      <c r="B39" s="341"/>
      <c r="C39" s="246" t="s">
        <v>213</v>
      </c>
      <c r="D39" s="247">
        <f t="shared" si="1"/>
        <v>0.37747407127961685</v>
      </c>
      <c r="E39" s="248">
        <v>2700</v>
      </c>
      <c r="F39" s="262">
        <v>495.12</v>
      </c>
      <c r="G39" s="262">
        <v>445.608</v>
      </c>
      <c r="H39" s="263">
        <f t="shared" si="2"/>
        <v>168.2054659547675</v>
      </c>
    </row>
    <row r="40" spans="1:8" ht="28.5" x14ac:dyDescent="0.25">
      <c r="A40" s="345"/>
      <c r="B40" s="342" t="s">
        <v>225</v>
      </c>
      <c r="C40" s="246" t="s">
        <v>241</v>
      </c>
      <c r="D40" s="247">
        <f t="shared" si="1"/>
        <v>8.2812423894246853E-2</v>
      </c>
      <c r="E40" s="248">
        <f>160*15</f>
        <v>2400</v>
      </c>
      <c r="F40" s="262">
        <v>442.452</v>
      </c>
      <c r="G40" s="262">
        <v>347.6408571428571</v>
      </c>
      <c r="H40" s="263">
        <f t="shared" si="2"/>
        <v>28.788982024673597</v>
      </c>
    </row>
    <row r="41" spans="1:8" ht="28.5" x14ac:dyDescent="0.25">
      <c r="A41" s="345"/>
      <c r="B41" s="340"/>
      <c r="C41" s="246" t="s">
        <v>242</v>
      </c>
      <c r="D41" s="247">
        <f t="shared" si="1"/>
        <v>1.8499854314813088E-2</v>
      </c>
      <c r="E41" s="248">
        <f>380*15</f>
        <v>5700</v>
      </c>
      <c r="F41" s="262">
        <v>113.68</v>
      </c>
      <c r="G41" s="262">
        <v>212.13499999999999</v>
      </c>
      <c r="H41" s="263">
        <f t="shared" si="2"/>
        <v>3.9244665950728743</v>
      </c>
    </row>
    <row r="42" spans="1:8" x14ac:dyDescent="0.25">
      <c r="A42" s="345"/>
      <c r="B42" s="340"/>
      <c r="C42" s="264" t="s">
        <v>243</v>
      </c>
      <c r="D42" s="265">
        <f t="shared" si="1"/>
        <v>9.5937800563454675E-2</v>
      </c>
      <c r="E42" s="266">
        <f>380*15</f>
        <v>5700</v>
      </c>
      <c r="F42" s="267">
        <v>1019.8520000000001</v>
      </c>
      <c r="G42" s="267">
        <v>1903.1166785714288</v>
      </c>
      <c r="H42" s="263">
        <f t="shared" si="2"/>
        <v>182.58082835777</v>
      </c>
    </row>
    <row r="43" spans="1:8" x14ac:dyDescent="0.25">
      <c r="A43" s="348"/>
      <c r="B43" s="343" t="s">
        <v>226</v>
      </c>
      <c r="C43" s="344"/>
      <c r="D43" s="344"/>
      <c r="E43" s="344"/>
      <c r="F43" s="344"/>
      <c r="G43" s="268"/>
      <c r="H43" s="269">
        <f>SUM(H33:H42)</f>
        <v>6154.9980677939302</v>
      </c>
    </row>
    <row r="44" spans="1:8" ht="15" hidden="1" customHeight="1" thickBot="1" x14ac:dyDescent="0.3">
      <c r="A44" s="348"/>
      <c r="B44" s="343" t="s">
        <v>254</v>
      </c>
      <c r="C44" s="344"/>
      <c r="D44" s="344"/>
      <c r="E44" s="344"/>
      <c r="F44" s="344"/>
      <c r="G44" s="268"/>
      <c r="H44" s="324">
        <f>H43*12</f>
        <v>73859.976813527159</v>
      </c>
    </row>
    <row r="45" spans="1:8" x14ac:dyDescent="0.25">
      <c r="A45" s="336" t="s">
        <v>265</v>
      </c>
      <c r="B45" s="336"/>
      <c r="C45" s="336"/>
      <c r="D45" s="336"/>
      <c r="E45" s="336"/>
      <c r="F45" s="336"/>
      <c r="G45" s="336"/>
      <c r="H45" s="325">
        <f>H43+H31</f>
        <v>14939.13687116314</v>
      </c>
    </row>
    <row r="46" spans="1:8" ht="15.75" x14ac:dyDescent="0.25">
      <c r="A46" s="336" t="s">
        <v>264</v>
      </c>
      <c r="B46" s="336"/>
      <c r="C46" s="336"/>
      <c r="D46" s="336"/>
      <c r="E46" s="336"/>
      <c r="F46" s="336"/>
      <c r="G46" s="336"/>
      <c r="H46" s="326">
        <f>H45*12</f>
        <v>179269.6424539577</v>
      </c>
    </row>
    <row r="47" spans="1:8" ht="17.25" customHeight="1" x14ac:dyDescent="0.25">
      <c r="A47" s="329" t="s">
        <v>362</v>
      </c>
      <c r="B47" s="329"/>
      <c r="C47" s="329"/>
      <c r="D47" s="329"/>
      <c r="E47" s="329"/>
      <c r="F47" s="329"/>
      <c r="G47" s="329"/>
      <c r="H47" s="329"/>
    </row>
    <row r="48" spans="1:8" x14ac:dyDescent="0.25">
      <c r="A48" s="329" t="s">
        <v>363</v>
      </c>
      <c r="B48" s="329" t="s">
        <v>348</v>
      </c>
      <c r="C48" s="329"/>
      <c r="D48" s="329" t="s">
        <v>351</v>
      </c>
      <c r="E48" s="329"/>
      <c r="F48" s="329"/>
      <c r="G48" s="329"/>
      <c r="H48" s="329"/>
    </row>
    <row r="49" spans="1:15" x14ac:dyDescent="0.25">
      <c r="A49" s="329" t="s">
        <v>364</v>
      </c>
      <c r="B49" s="329"/>
      <c r="C49" s="329"/>
      <c r="D49" s="329"/>
      <c r="E49" s="329"/>
      <c r="F49" s="329"/>
      <c r="G49" s="329"/>
      <c r="H49" s="329"/>
    </row>
    <row r="50" spans="1:15" ht="27.75" customHeight="1" x14ac:dyDescent="0.25">
      <c r="A50" s="330" t="s">
        <v>365</v>
      </c>
      <c r="B50" s="330"/>
      <c r="C50" s="330"/>
      <c r="D50" s="330"/>
      <c r="E50" s="330"/>
      <c r="F50" s="330"/>
      <c r="G50" s="330"/>
      <c r="H50" s="330"/>
    </row>
    <row r="51" spans="1:15" x14ac:dyDescent="0.25">
      <c r="A51" s="329" t="s">
        <v>366</v>
      </c>
      <c r="B51" s="329"/>
      <c r="C51" s="329"/>
      <c r="D51" s="329"/>
      <c r="E51" s="329"/>
      <c r="F51" s="329"/>
      <c r="G51" s="329"/>
      <c r="H51" s="329"/>
    </row>
    <row r="52" spans="1:15" x14ac:dyDescent="0.25">
      <c r="A52" s="323"/>
    </row>
    <row r="53" spans="1:15" x14ac:dyDescent="0.25">
      <c r="A53" s="322"/>
    </row>
    <row r="54" spans="1:15" x14ac:dyDescent="0.25">
      <c r="A54" s="323"/>
    </row>
    <row r="55" spans="1:15" x14ac:dyDescent="0.25">
      <c r="A55" s="323"/>
    </row>
    <row r="56" spans="1:15" x14ac:dyDescent="0.25">
      <c r="A56" s="331" t="s">
        <v>367</v>
      </c>
      <c r="B56" s="331"/>
      <c r="C56" s="331"/>
      <c r="D56" s="331"/>
      <c r="E56" s="331"/>
      <c r="F56" s="331"/>
      <c r="G56" s="331"/>
      <c r="H56" s="331"/>
    </row>
    <row r="57" spans="1:15" x14ac:dyDescent="0.25">
      <c r="A57" s="328" t="s">
        <v>368</v>
      </c>
      <c r="B57" s="328"/>
      <c r="C57" s="328"/>
      <c r="D57" s="328"/>
      <c r="E57" s="328"/>
      <c r="F57" s="328"/>
      <c r="G57" s="328"/>
      <c r="H57" s="328"/>
      <c r="I57" s="323"/>
      <c r="J57" s="323"/>
      <c r="K57" s="323"/>
      <c r="L57" s="323"/>
      <c r="M57" s="323"/>
      <c r="N57" s="323"/>
      <c r="O57" s="323"/>
    </row>
  </sheetData>
  <mergeCells count="45">
    <mergeCell ref="A45:G45"/>
    <mergeCell ref="A18:H18"/>
    <mergeCell ref="E19:E20"/>
    <mergeCell ref="F19:F20"/>
    <mergeCell ref="G19:G20"/>
    <mergeCell ref="H19:H20"/>
    <mergeCell ref="D19:D20"/>
    <mergeCell ref="B28:B30"/>
    <mergeCell ref="B31:F31"/>
    <mergeCell ref="B32:F32"/>
    <mergeCell ref="B19:C20"/>
    <mergeCell ref="A1:H1"/>
    <mergeCell ref="A2:H2"/>
    <mergeCell ref="A4:H4"/>
    <mergeCell ref="A6:H6"/>
    <mergeCell ref="A47:H47"/>
    <mergeCell ref="A46:G46"/>
    <mergeCell ref="A19:A20"/>
    <mergeCell ref="B33:B37"/>
    <mergeCell ref="B38:B39"/>
    <mergeCell ref="B40:B42"/>
    <mergeCell ref="B43:F43"/>
    <mergeCell ref="B44:F44"/>
    <mergeCell ref="A21:A32"/>
    <mergeCell ref="A33:A44"/>
    <mergeCell ref="B21:B25"/>
    <mergeCell ref="B26:B27"/>
    <mergeCell ref="A12:H12"/>
    <mergeCell ref="A13:H13"/>
    <mergeCell ref="A14:H14"/>
    <mergeCell ref="A15:H15"/>
    <mergeCell ref="A16:H16"/>
    <mergeCell ref="A3:H3"/>
    <mergeCell ref="A5:H5"/>
    <mergeCell ref="A8:H8"/>
    <mergeCell ref="A10:H10"/>
    <mergeCell ref="A11:H11"/>
    <mergeCell ref="A7:H7"/>
    <mergeCell ref="A9:H9"/>
    <mergeCell ref="A57:H57"/>
    <mergeCell ref="A48:H48"/>
    <mergeCell ref="A49:H49"/>
    <mergeCell ref="A50:H50"/>
    <mergeCell ref="A51:H51"/>
    <mergeCell ref="A56:H56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83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view="pageBreakPreview" topLeftCell="A7" zoomScale="85" zoomScaleNormal="100" zoomScaleSheetLayoutView="85" workbookViewId="0">
      <selection sqref="A1:XFD1"/>
    </sheetView>
  </sheetViews>
  <sheetFormatPr defaultRowHeight="15" x14ac:dyDescent="0.25"/>
  <cols>
    <col min="1" max="1" width="10.140625" customWidth="1"/>
    <col min="2" max="2" width="43.5703125" customWidth="1"/>
    <col min="3" max="3" width="14.5703125" customWidth="1"/>
    <col min="4" max="4" width="11.85546875" customWidth="1"/>
  </cols>
  <sheetData>
    <row r="1" spans="1:10" ht="107.25" customHeight="1" x14ac:dyDescent="0.25">
      <c r="A1" s="225"/>
      <c r="B1" s="368" t="s">
        <v>267</v>
      </c>
      <c r="C1" s="368"/>
      <c r="D1" s="225"/>
      <c r="E1" s="225"/>
    </row>
    <row r="2" spans="1:10" ht="20.25" x14ac:dyDescent="0.25">
      <c r="A2" s="363" t="s">
        <v>16</v>
      </c>
      <c r="B2" s="363"/>
      <c r="C2" s="363"/>
      <c r="D2" s="363"/>
      <c r="E2" s="363"/>
      <c r="F2" s="4"/>
      <c r="G2" s="4"/>
      <c r="H2" s="4"/>
    </row>
    <row r="3" spans="1:10" x14ac:dyDescent="0.25">
      <c r="A3" s="1"/>
      <c r="B3" s="1"/>
      <c r="C3" s="225"/>
      <c r="D3" s="225"/>
      <c r="E3" s="225"/>
    </row>
    <row r="4" spans="1:10" ht="17.25" customHeight="1" x14ac:dyDescent="0.25">
      <c r="A4" s="364" t="s">
        <v>346</v>
      </c>
      <c r="B4" s="364"/>
      <c r="C4" s="364"/>
      <c r="D4" s="364"/>
      <c r="E4" s="364"/>
      <c r="F4" s="5"/>
      <c r="G4" s="5"/>
      <c r="H4" s="5"/>
      <c r="I4" s="5"/>
    </row>
    <row r="5" spans="1:10" ht="18.75" customHeight="1" x14ac:dyDescent="0.25">
      <c r="A5" s="365" t="s">
        <v>347</v>
      </c>
      <c r="B5" s="365"/>
      <c r="C5" s="365"/>
      <c r="D5" s="365"/>
      <c r="E5" s="365"/>
      <c r="F5" s="5"/>
      <c r="G5" s="5"/>
      <c r="H5" s="5"/>
      <c r="I5" s="5"/>
    </row>
    <row r="6" spans="1:10" x14ac:dyDescent="0.25">
      <c r="A6" s="1" t="s">
        <v>227</v>
      </c>
      <c r="B6" s="1"/>
      <c r="C6" s="225"/>
      <c r="D6" s="225"/>
      <c r="E6" s="225"/>
    </row>
    <row r="7" spans="1:10" x14ac:dyDescent="0.25">
      <c r="A7" s="366" t="s">
        <v>228</v>
      </c>
      <c r="B7" s="366"/>
      <c r="C7" s="366"/>
      <c r="D7" s="2"/>
      <c r="E7" s="2"/>
      <c r="F7" s="2"/>
      <c r="G7" s="2"/>
      <c r="H7" s="2"/>
      <c r="I7" s="2"/>
      <c r="J7" s="2"/>
    </row>
    <row r="8" spans="1:10" ht="23.25" customHeight="1" x14ac:dyDescent="0.25">
      <c r="A8" s="229" t="s">
        <v>229</v>
      </c>
      <c r="B8" s="226" t="s">
        <v>230</v>
      </c>
      <c r="C8" s="270"/>
      <c r="D8" s="5" t="s">
        <v>227</v>
      </c>
      <c r="E8" s="225"/>
    </row>
    <row r="9" spans="1:10" ht="18" customHeight="1" x14ac:dyDescent="0.25">
      <c r="A9" s="229" t="s">
        <v>231</v>
      </c>
      <c r="B9" s="226" t="s">
        <v>232</v>
      </c>
      <c r="C9" s="271" t="s">
        <v>247</v>
      </c>
      <c r="D9" s="5" t="s">
        <v>227</v>
      </c>
      <c r="E9" s="225"/>
    </row>
    <row r="10" spans="1:10" ht="22.5" customHeight="1" x14ac:dyDescent="0.25">
      <c r="A10" s="229" t="s">
        <v>233</v>
      </c>
      <c r="B10" s="226" t="s">
        <v>234</v>
      </c>
      <c r="C10" s="271"/>
      <c r="D10" s="5" t="s">
        <v>227</v>
      </c>
      <c r="E10" s="225"/>
    </row>
    <row r="11" spans="1:10" ht="20.25" customHeight="1" x14ac:dyDescent="0.25">
      <c r="A11" s="229" t="s">
        <v>235</v>
      </c>
      <c r="B11" s="226" t="s">
        <v>236</v>
      </c>
      <c r="C11" s="271" t="s">
        <v>248</v>
      </c>
      <c r="D11" s="5" t="s">
        <v>227</v>
      </c>
      <c r="E11" s="225"/>
    </row>
    <row r="12" spans="1:10" x14ac:dyDescent="0.25">
      <c r="A12" s="3"/>
      <c r="B12" s="3"/>
      <c r="C12" s="225"/>
      <c r="D12" s="225"/>
      <c r="E12" s="225"/>
    </row>
    <row r="13" spans="1:10" x14ac:dyDescent="0.25">
      <c r="A13" s="362" t="s">
        <v>237</v>
      </c>
      <c r="B13" s="362"/>
      <c r="C13" s="362"/>
      <c r="D13" s="362"/>
      <c r="E13" s="362"/>
    </row>
    <row r="14" spans="1:10" ht="25.5" x14ac:dyDescent="0.25">
      <c r="A14" s="370" t="s">
        <v>240</v>
      </c>
      <c r="B14" s="370"/>
      <c r="C14" s="227" t="s">
        <v>244</v>
      </c>
      <c r="D14" s="227" t="s">
        <v>246</v>
      </c>
      <c r="E14" s="227" t="s">
        <v>239</v>
      </c>
    </row>
    <row r="15" spans="1:10" ht="25.5" x14ac:dyDescent="0.25">
      <c r="A15" s="367" t="s">
        <v>223</v>
      </c>
      <c r="B15" s="6" t="s">
        <v>205</v>
      </c>
      <c r="C15" s="6" t="s">
        <v>245</v>
      </c>
      <c r="D15" s="6">
        <v>1200</v>
      </c>
      <c r="E15" s="6">
        <v>4053.4</v>
      </c>
    </row>
    <row r="16" spans="1:10" ht="25.5" x14ac:dyDescent="0.25">
      <c r="A16" s="367"/>
      <c r="B16" s="6" t="s">
        <v>206</v>
      </c>
      <c r="C16" s="6" t="s">
        <v>245</v>
      </c>
      <c r="D16" s="6">
        <v>450</v>
      </c>
      <c r="E16" s="6">
        <v>1146.92</v>
      </c>
    </row>
    <row r="17" spans="1:8" ht="25.5" x14ac:dyDescent="0.25">
      <c r="A17" s="367"/>
      <c r="B17" s="6" t="s">
        <v>207</v>
      </c>
      <c r="C17" s="6" t="s">
        <v>245</v>
      </c>
      <c r="D17" s="6">
        <v>2500</v>
      </c>
      <c r="E17" s="6">
        <v>437.55</v>
      </c>
    </row>
    <row r="18" spans="1:8" ht="25.5" x14ac:dyDescent="0.25">
      <c r="A18" s="367"/>
      <c r="B18" s="6" t="s">
        <v>208</v>
      </c>
      <c r="C18" s="6" t="s">
        <v>245</v>
      </c>
      <c r="D18" s="6">
        <v>1500</v>
      </c>
      <c r="E18" s="6">
        <v>2838.48</v>
      </c>
    </row>
    <row r="19" spans="1:8" ht="25.5" x14ac:dyDescent="0.25">
      <c r="A19" s="367"/>
      <c r="B19" s="6" t="s">
        <v>209</v>
      </c>
      <c r="C19" s="6" t="s">
        <v>245</v>
      </c>
      <c r="D19" s="6">
        <v>300</v>
      </c>
      <c r="E19" s="6">
        <v>424.84</v>
      </c>
    </row>
    <row r="20" spans="1:8" ht="25.5" x14ac:dyDescent="0.25">
      <c r="A20" s="367" t="s">
        <v>224</v>
      </c>
      <c r="B20" s="6" t="s">
        <v>210</v>
      </c>
      <c r="C20" s="6" t="s">
        <v>245</v>
      </c>
      <c r="D20" s="6">
        <v>9000</v>
      </c>
      <c r="E20" s="6">
        <v>2537.66</v>
      </c>
    </row>
    <row r="21" spans="1:8" ht="25.5" x14ac:dyDescent="0.25">
      <c r="A21" s="367"/>
      <c r="B21" s="6" t="s">
        <v>213</v>
      </c>
      <c r="C21" s="6" t="s">
        <v>245</v>
      </c>
      <c r="D21" s="6">
        <v>2700</v>
      </c>
      <c r="E21" s="6">
        <v>1224.71</v>
      </c>
    </row>
    <row r="22" spans="1:8" ht="25.5" x14ac:dyDescent="0.25">
      <c r="A22" s="367" t="s">
        <v>225</v>
      </c>
      <c r="B22" s="6" t="s">
        <v>241</v>
      </c>
      <c r="C22" s="6" t="s">
        <v>245</v>
      </c>
      <c r="D22" s="6">
        <f>160*15</f>
        <v>2400</v>
      </c>
      <c r="E22" s="6">
        <v>803.12</v>
      </c>
    </row>
    <row r="23" spans="1:8" ht="25.5" x14ac:dyDescent="0.25">
      <c r="A23" s="367"/>
      <c r="B23" s="6" t="s">
        <v>242</v>
      </c>
      <c r="C23" s="6" t="s">
        <v>245</v>
      </c>
      <c r="D23" s="6">
        <f>380*15</f>
        <v>5700</v>
      </c>
      <c r="E23" s="6">
        <v>426.15</v>
      </c>
    </row>
    <row r="24" spans="1:8" ht="25.5" x14ac:dyDescent="0.25">
      <c r="A24" s="367"/>
      <c r="B24" s="6" t="s">
        <v>243</v>
      </c>
      <c r="C24" s="6" t="s">
        <v>245</v>
      </c>
      <c r="D24" s="6">
        <f>380*15</f>
        <v>5700</v>
      </c>
      <c r="E24" s="6">
        <v>2275.2399999999998</v>
      </c>
    </row>
    <row r="25" spans="1:8" x14ac:dyDescent="0.25">
      <c r="A25" s="225"/>
      <c r="B25" s="225"/>
      <c r="C25" s="225"/>
      <c r="D25" s="225"/>
      <c r="E25" s="225"/>
    </row>
    <row r="26" spans="1:8" x14ac:dyDescent="0.25">
      <c r="A26" s="225"/>
      <c r="B26" s="225"/>
      <c r="C26" s="225"/>
      <c r="D26" s="225"/>
      <c r="E26" s="225"/>
    </row>
    <row r="27" spans="1:8" x14ac:dyDescent="0.25">
      <c r="A27" s="225"/>
      <c r="B27" s="362" t="s">
        <v>238</v>
      </c>
      <c r="C27" s="362"/>
      <c r="D27" s="362"/>
      <c r="E27" s="362"/>
      <c r="F27" s="362"/>
      <c r="G27" s="362"/>
      <c r="H27" s="362"/>
    </row>
    <row r="28" spans="1:8" ht="33" customHeight="1" x14ac:dyDescent="0.25">
      <c r="A28" s="225"/>
      <c r="B28" s="228" t="s">
        <v>349</v>
      </c>
      <c r="C28" s="369" t="s">
        <v>249</v>
      </c>
      <c r="D28" s="369"/>
      <c r="E28" s="369"/>
    </row>
    <row r="29" spans="1:8" ht="33" customHeight="1" x14ac:dyDescent="0.25">
      <c r="A29" s="225"/>
      <c r="B29" s="228" t="s">
        <v>350</v>
      </c>
      <c r="C29" s="369"/>
      <c r="D29" s="369"/>
      <c r="E29" s="369"/>
    </row>
  </sheetData>
  <mergeCells count="13">
    <mergeCell ref="B1:C1"/>
    <mergeCell ref="C28:E29"/>
    <mergeCell ref="B27:E27"/>
    <mergeCell ref="A20:A21"/>
    <mergeCell ref="A22:A24"/>
    <mergeCell ref="A13:E13"/>
    <mergeCell ref="A14:B14"/>
    <mergeCell ref="F27:H27"/>
    <mergeCell ref="A2:E2"/>
    <mergeCell ref="A4:E4"/>
    <mergeCell ref="A5:E5"/>
    <mergeCell ref="A7:C7"/>
    <mergeCell ref="A15:A19"/>
  </mergeCells>
  <printOptions horizontalCentered="1"/>
  <pageMargins left="0.31496062992125984" right="0.31496062992125984" top="0.39370078740157483" bottom="0.39370078740157483" header="0.31496062992125984" footer="0.31496062992125984"/>
  <pageSetup paperSize="9" scale="88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01"/>
  <sheetViews>
    <sheetView tabSelected="1" view="pageBreakPreview" topLeftCell="A392" zoomScale="70" zoomScaleNormal="100" zoomScaleSheetLayoutView="70" workbookViewId="0">
      <selection activeCell="E527" sqref="E527"/>
    </sheetView>
  </sheetViews>
  <sheetFormatPr defaultRowHeight="24" customHeight="1" x14ac:dyDescent="0.25"/>
  <cols>
    <col min="1" max="1" width="2" style="7" customWidth="1"/>
    <col min="2" max="2" width="4.7109375" style="7" customWidth="1"/>
    <col min="3" max="3" width="26.42578125" style="7" customWidth="1"/>
    <col min="4" max="4" width="19.28515625" style="7" bestFit="1" customWidth="1"/>
    <col min="5" max="5" width="21.7109375" style="7" customWidth="1"/>
    <col min="6" max="6" width="20.7109375" style="7" bestFit="1" customWidth="1"/>
    <col min="7" max="7" width="18.5703125" style="7" bestFit="1" customWidth="1"/>
    <col min="8" max="8" width="16.5703125" style="7" customWidth="1"/>
    <col min="9" max="9" width="16.42578125" style="7" customWidth="1"/>
    <col min="10" max="10" width="9.140625" style="7"/>
    <col min="11" max="11" width="11.28515625" style="7" customWidth="1"/>
    <col min="12" max="12" width="12" style="7" customWidth="1"/>
    <col min="13" max="13" width="9.140625" style="7"/>
    <col min="14" max="14" width="10.85546875" style="7" customWidth="1"/>
    <col min="15" max="16384" width="9.140625" style="7"/>
  </cols>
  <sheetData>
    <row r="1" spans="2:10" ht="24" customHeight="1" x14ac:dyDescent="0.25">
      <c r="B1" s="386" t="s">
        <v>238</v>
      </c>
      <c r="C1" s="386"/>
      <c r="D1" s="386"/>
      <c r="E1" s="386"/>
      <c r="F1" s="386"/>
      <c r="G1" s="386"/>
      <c r="H1" s="386"/>
      <c r="I1" s="386"/>
      <c r="J1" s="8"/>
    </row>
    <row r="2" spans="2:10" ht="24" customHeight="1" thickBot="1" x14ac:dyDescent="0.3"/>
    <row r="3" spans="2:10" ht="24" customHeight="1" thickBot="1" x14ac:dyDescent="0.3">
      <c r="B3" s="383" t="s">
        <v>17</v>
      </c>
      <c r="C3" s="384"/>
      <c r="D3" s="384"/>
      <c r="E3" s="384"/>
      <c r="F3" s="384"/>
      <c r="G3" s="384"/>
      <c r="H3" s="384"/>
      <c r="I3" s="385"/>
      <c r="J3" s="9"/>
    </row>
    <row r="4" spans="2:10" ht="24" customHeight="1" thickBot="1" x14ac:dyDescent="0.3"/>
    <row r="5" spans="2:10" ht="24" customHeight="1" thickBot="1" x14ac:dyDescent="0.3">
      <c r="C5" s="398" t="s">
        <v>1</v>
      </c>
      <c r="D5" s="399"/>
    </row>
    <row r="6" spans="2:10" ht="24" customHeight="1" x14ac:dyDescent="0.25">
      <c r="C6" s="10" t="s">
        <v>176</v>
      </c>
      <c r="D6" s="11"/>
    </row>
    <row r="7" spans="2:10" ht="24" customHeight="1" thickBot="1" x14ac:dyDescent="0.3">
      <c r="C7" s="12" t="s">
        <v>216</v>
      </c>
      <c r="D7" s="13"/>
    </row>
    <row r="9" spans="2:10" ht="24" hidden="1" customHeight="1" thickBot="1" x14ac:dyDescent="0.3">
      <c r="C9" s="395" t="s">
        <v>7</v>
      </c>
      <c r="D9" s="396"/>
      <c r="E9" s="396"/>
      <c r="F9" s="396"/>
      <c r="G9" s="400"/>
      <c r="H9" s="401" t="s">
        <v>171</v>
      </c>
      <c r="I9" s="402"/>
      <c r="J9" s="403"/>
    </row>
    <row r="10" spans="2:10" ht="24" hidden="1" customHeight="1" thickBot="1" x14ac:dyDescent="0.3">
      <c r="C10" s="14" t="s">
        <v>6</v>
      </c>
      <c r="D10" s="15" t="s">
        <v>2</v>
      </c>
      <c r="E10" s="15" t="s">
        <v>3</v>
      </c>
      <c r="F10" s="15" t="s">
        <v>4</v>
      </c>
      <c r="G10" s="16" t="s">
        <v>5</v>
      </c>
      <c r="H10" s="404"/>
      <c r="I10" s="405"/>
      <c r="J10" s="406"/>
    </row>
    <row r="11" spans="2:10" ht="24" hidden="1" customHeight="1" thickBot="1" x14ac:dyDescent="0.3">
      <c r="C11" s="17" t="s">
        <v>0</v>
      </c>
      <c r="D11" s="18">
        <f>D6</f>
        <v>0</v>
      </c>
      <c r="E11" s="19">
        <v>0.3</v>
      </c>
      <c r="F11" s="18">
        <f>D11*E11</f>
        <v>0</v>
      </c>
      <c r="G11" s="20">
        <f>D11+F11</f>
        <v>0</v>
      </c>
      <c r="H11" s="407"/>
      <c r="I11" s="408"/>
      <c r="J11" s="409"/>
    </row>
    <row r="12" spans="2:10" ht="24" hidden="1" customHeight="1" x14ac:dyDescent="0.25"/>
    <row r="13" spans="2:10" ht="24" hidden="1" customHeight="1" x14ac:dyDescent="0.25">
      <c r="C13" s="363" t="s">
        <v>15</v>
      </c>
      <c r="D13" s="363"/>
      <c r="E13" s="363"/>
      <c r="F13" s="363"/>
      <c r="G13" s="363"/>
      <c r="H13" s="363"/>
      <c r="I13" s="363"/>
      <c r="J13" s="363"/>
    </row>
    <row r="14" spans="2:10" ht="24" hidden="1" customHeight="1" thickBot="1" x14ac:dyDescent="0.3">
      <c r="H14" s="401" t="s">
        <v>172</v>
      </c>
      <c r="I14" s="402"/>
      <c r="J14" s="403"/>
    </row>
    <row r="15" spans="2:10" ht="24" hidden="1" customHeight="1" thickBot="1" x14ac:dyDescent="0.3">
      <c r="C15" s="395" t="s">
        <v>15</v>
      </c>
      <c r="D15" s="396"/>
      <c r="E15" s="396"/>
      <c r="F15" s="397"/>
      <c r="H15" s="407"/>
      <c r="I15" s="408"/>
      <c r="J15" s="409"/>
    </row>
    <row r="16" spans="2:10" ht="24" hidden="1" customHeight="1" thickBot="1" x14ac:dyDescent="0.3">
      <c r="C16" s="21" t="s">
        <v>6</v>
      </c>
      <c r="D16" s="22" t="s">
        <v>2</v>
      </c>
      <c r="E16" s="22" t="s">
        <v>3</v>
      </c>
      <c r="F16" s="23" t="s">
        <v>14</v>
      </c>
    </row>
    <row r="17" spans="3:10" ht="24" hidden="1" customHeight="1" x14ac:dyDescent="0.25">
      <c r="C17" s="24" t="s">
        <v>8</v>
      </c>
      <c r="D17" s="25">
        <f>D11</f>
        <v>0</v>
      </c>
      <c r="E17" s="26">
        <v>0.3</v>
      </c>
      <c r="F17" s="27">
        <f t="shared" ref="F17:F22" si="0">D17*E17</f>
        <v>0</v>
      </c>
    </row>
    <row r="18" spans="3:10" ht="24" hidden="1" customHeight="1" x14ac:dyDescent="0.25">
      <c r="C18" s="28" t="s">
        <v>9</v>
      </c>
      <c r="D18" s="29">
        <f>D11</f>
        <v>0</v>
      </c>
      <c r="E18" s="30">
        <v>0.3</v>
      </c>
      <c r="F18" s="31">
        <f t="shared" si="0"/>
        <v>0</v>
      </c>
    </row>
    <row r="19" spans="3:10" ht="24" hidden="1" customHeight="1" thickBot="1" x14ac:dyDescent="0.3">
      <c r="C19" s="32" t="s">
        <v>10</v>
      </c>
      <c r="D19" s="33">
        <f>D11</f>
        <v>0</v>
      </c>
      <c r="E19" s="34">
        <v>0.3</v>
      </c>
      <c r="F19" s="35">
        <f t="shared" si="0"/>
        <v>0</v>
      </c>
    </row>
    <row r="20" spans="3:10" ht="24" hidden="1" customHeight="1" x14ac:dyDescent="0.25">
      <c r="C20" s="24" t="s">
        <v>11</v>
      </c>
      <c r="D20" s="25">
        <f>D7</f>
        <v>0</v>
      </c>
      <c r="E20" s="26">
        <v>0.3</v>
      </c>
      <c r="F20" s="27">
        <f t="shared" si="0"/>
        <v>0</v>
      </c>
    </row>
    <row r="21" spans="3:10" ht="24" hidden="1" customHeight="1" x14ac:dyDescent="0.25">
      <c r="C21" s="28" t="s">
        <v>12</v>
      </c>
      <c r="D21" s="29">
        <f>D7</f>
        <v>0</v>
      </c>
      <c r="E21" s="30">
        <v>0.3</v>
      </c>
      <c r="F21" s="31">
        <f t="shared" si="0"/>
        <v>0</v>
      </c>
    </row>
    <row r="22" spans="3:10" ht="24" hidden="1" customHeight="1" thickBot="1" x14ac:dyDescent="0.3">
      <c r="C22" s="12" t="s">
        <v>13</v>
      </c>
      <c r="D22" s="36">
        <f>D7</f>
        <v>0</v>
      </c>
      <c r="E22" s="37">
        <v>0.3</v>
      </c>
      <c r="F22" s="13">
        <f t="shared" si="0"/>
        <v>0</v>
      </c>
    </row>
    <row r="23" spans="3:10" ht="24" hidden="1" customHeight="1" x14ac:dyDescent="0.25"/>
    <row r="24" spans="3:10" ht="24" hidden="1" customHeight="1" x14ac:dyDescent="0.25">
      <c r="C24" s="363" t="s">
        <v>19</v>
      </c>
      <c r="D24" s="363"/>
      <c r="E24" s="363"/>
      <c r="F24" s="363"/>
      <c r="G24" s="363"/>
      <c r="H24" s="363"/>
      <c r="I24" s="363"/>
      <c r="J24" s="363"/>
    </row>
    <row r="25" spans="3:10" ht="24" hidden="1" customHeight="1" thickBot="1" x14ac:dyDescent="0.3"/>
    <row r="26" spans="3:10" ht="24" hidden="1" customHeight="1" thickBot="1" x14ac:dyDescent="0.3">
      <c r="C26" s="395" t="s">
        <v>18</v>
      </c>
      <c r="D26" s="396"/>
      <c r="E26" s="396"/>
      <c r="F26" s="396"/>
      <c r="G26" s="397"/>
    </row>
    <row r="27" spans="3:10" ht="24" hidden="1" customHeight="1" thickBot="1" x14ac:dyDescent="0.3">
      <c r="C27" s="21" t="s">
        <v>6</v>
      </c>
      <c r="D27" s="22" t="s">
        <v>20</v>
      </c>
      <c r="E27" s="22" t="s">
        <v>21</v>
      </c>
      <c r="F27" s="22" t="s">
        <v>3</v>
      </c>
      <c r="G27" s="23" t="s">
        <v>14</v>
      </c>
    </row>
    <row r="28" spans="3:10" ht="24" hidden="1" customHeight="1" x14ac:dyDescent="0.25">
      <c r="C28" s="24" t="s">
        <v>9</v>
      </c>
      <c r="D28" s="25">
        <f>D6+F17</f>
        <v>0</v>
      </c>
      <c r="E28" s="38">
        <f>7/12</f>
        <v>0.58333333333333337</v>
      </c>
      <c r="F28" s="26">
        <v>0.2</v>
      </c>
      <c r="G28" s="27">
        <f>D28*E28*F28</f>
        <v>0</v>
      </c>
    </row>
    <row r="29" spans="3:10" ht="24" hidden="1" customHeight="1" thickBot="1" x14ac:dyDescent="0.3">
      <c r="C29" s="12" t="s">
        <v>12</v>
      </c>
      <c r="D29" s="36">
        <f>D22+F22</f>
        <v>0</v>
      </c>
      <c r="E29" s="39">
        <f>E28</f>
        <v>0.58333333333333337</v>
      </c>
      <c r="F29" s="37">
        <v>0.2</v>
      </c>
      <c r="G29" s="13">
        <f>D29*E29*F29</f>
        <v>0</v>
      </c>
    </row>
    <row r="30" spans="3:10" ht="24" hidden="1" customHeight="1" thickBot="1" x14ac:dyDescent="0.3">
      <c r="C30" s="395" t="s">
        <v>22</v>
      </c>
      <c r="D30" s="396"/>
      <c r="E30" s="396"/>
      <c r="F30" s="396"/>
      <c r="G30" s="397"/>
    </row>
    <row r="31" spans="3:10" ht="24" hidden="1" customHeight="1" thickBot="1" x14ac:dyDescent="0.3">
      <c r="C31" s="21" t="s">
        <v>6</v>
      </c>
      <c r="D31" s="22" t="s">
        <v>20</v>
      </c>
      <c r="E31" s="22" t="s">
        <v>21</v>
      </c>
      <c r="F31" s="22" t="s">
        <v>3</v>
      </c>
      <c r="G31" s="23" t="s">
        <v>14</v>
      </c>
    </row>
    <row r="32" spans="3:10" ht="24" hidden="1" customHeight="1" x14ac:dyDescent="0.25">
      <c r="C32" s="24" t="s">
        <v>9</v>
      </c>
      <c r="D32" s="25">
        <f>D28</f>
        <v>0</v>
      </c>
      <c r="E32" s="38">
        <f>1/12</f>
        <v>8.3333333333333329E-2</v>
      </c>
      <c r="F32" s="40">
        <v>1.5</v>
      </c>
      <c r="G32" s="27">
        <f>D32*E32*F32</f>
        <v>0</v>
      </c>
    </row>
    <row r="33" spans="3:10" ht="24" hidden="1" customHeight="1" thickBot="1" x14ac:dyDescent="0.3">
      <c r="C33" s="12" t="s">
        <v>12</v>
      </c>
      <c r="D33" s="36">
        <f>D29</f>
        <v>0</v>
      </c>
      <c r="E33" s="39">
        <f>E32</f>
        <v>8.3333333333333329E-2</v>
      </c>
      <c r="F33" s="41">
        <v>1.5</v>
      </c>
      <c r="G33" s="13">
        <f>D33*E33*F33</f>
        <v>0</v>
      </c>
    </row>
    <row r="34" spans="3:10" ht="24" hidden="1" customHeight="1" thickBot="1" x14ac:dyDescent="0.3"/>
    <row r="35" spans="3:10" ht="24" hidden="1" customHeight="1" thickBot="1" x14ac:dyDescent="0.3">
      <c r="C35" s="395" t="s">
        <v>19</v>
      </c>
      <c r="D35" s="396"/>
      <c r="E35" s="396"/>
      <c r="F35" s="397"/>
    </row>
    <row r="36" spans="3:10" ht="33.75" hidden="1" customHeight="1" thickBot="1" x14ac:dyDescent="0.3">
      <c r="C36" s="21" t="s">
        <v>6</v>
      </c>
      <c r="D36" s="22" t="s">
        <v>23</v>
      </c>
      <c r="E36" s="42" t="s">
        <v>24</v>
      </c>
      <c r="F36" s="23" t="s">
        <v>14</v>
      </c>
    </row>
    <row r="37" spans="3:10" ht="24" hidden="1" customHeight="1" x14ac:dyDescent="0.25">
      <c r="C37" s="24" t="s">
        <v>9</v>
      </c>
      <c r="D37" s="25">
        <f>G28</f>
        <v>0</v>
      </c>
      <c r="E37" s="25">
        <f>G32</f>
        <v>0</v>
      </c>
      <c r="F37" s="27">
        <f>SUM(D37:E37)</f>
        <v>0</v>
      </c>
    </row>
    <row r="38" spans="3:10" ht="24" hidden="1" customHeight="1" thickBot="1" x14ac:dyDescent="0.3">
      <c r="C38" s="12" t="s">
        <v>12</v>
      </c>
      <c r="D38" s="36">
        <f>G29</f>
        <v>0</v>
      </c>
      <c r="E38" s="36">
        <f>G33</f>
        <v>0</v>
      </c>
      <c r="F38" s="13">
        <f>SUM(D38:E38)</f>
        <v>0</v>
      </c>
    </row>
    <row r="39" spans="3:10" ht="24" hidden="1" customHeight="1" x14ac:dyDescent="0.25"/>
    <row r="40" spans="3:10" ht="24" hidden="1" customHeight="1" x14ac:dyDescent="0.25">
      <c r="C40" s="363" t="s">
        <v>25</v>
      </c>
      <c r="D40" s="363"/>
      <c r="E40" s="363"/>
      <c r="F40" s="363"/>
      <c r="G40" s="363"/>
      <c r="H40" s="363"/>
      <c r="I40" s="363"/>
      <c r="J40" s="363"/>
    </row>
    <row r="41" spans="3:10" ht="24" hidden="1" customHeight="1" thickBot="1" x14ac:dyDescent="0.3"/>
    <row r="42" spans="3:10" ht="24" hidden="1" customHeight="1" thickBot="1" x14ac:dyDescent="0.3">
      <c r="C42" s="395" t="s">
        <v>25</v>
      </c>
      <c r="D42" s="396"/>
      <c r="E42" s="396"/>
      <c r="F42" s="397"/>
    </row>
    <row r="43" spans="3:10" ht="24" hidden="1" customHeight="1" thickBot="1" x14ac:dyDescent="0.3">
      <c r="C43" s="21" t="s">
        <v>6</v>
      </c>
      <c r="D43" s="22" t="s">
        <v>2</v>
      </c>
      <c r="E43" s="22" t="s">
        <v>3</v>
      </c>
      <c r="F43" s="23" t="s">
        <v>14</v>
      </c>
    </row>
    <row r="44" spans="3:10" ht="24" hidden="1" customHeight="1" x14ac:dyDescent="0.25">
      <c r="C44" s="24" t="s">
        <v>8</v>
      </c>
      <c r="D44" s="43"/>
      <c r="E44" s="43"/>
      <c r="F44" s="44"/>
    </row>
    <row r="45" spans="3:10" ht="24" hidden="1" customHeight="1" x14ac:dyDescent="0.25">
      <c r="C45" s="28" t="s">
        <v>9</v>
      </c>
      <c r="D45" s="45"/>
      <c r="E45" s="45"/>
      <c r="F45" s="46"/>
    </row>
    <row r="46" spans="3:10" ht="24" hidden="1" customHeight="1" thickBot="1" x14ac:dyDescent="0.3">
      <c r="C46" s="12" t="s">
        <v>10</v>
      </c>
      <c r="D46" s="47"/>
      <c r="E46" s="47"/>
      <c r="F46" s="48"/>
    </row>
    <row r="47" spans="3:10" ht="24" hidden="1" customHeight="1" x14ac:dyDescent="0.25">
      <c r="C47" s="24" t="s">
        <v>11</v>
      </c>
      <c r="D47" s="43"/>
      <c r="E47" s="43"/>
      <c r="F47" s="44"/>
    </row>
    <row r="48" spans="3:10" ht="24" hidden="1" customHeight="1" x14ac:dyDescent="0.25">
      <c r="C48" s="28" t="s">
        <v>12</v>
      </c>
      <c r="D48" s="45"/>
      <c r="E48" s="45"/>
      <c r="F48" s="46"/>
    </row>
    <row r="49" spans="2:10" ht="24" hidden="1" customHeight="1" thickBot="1" x14ac:dyDescent="0.3">
      <c r="C49" s="12" t="s">
        <v>13</v>
      </c>
      <c r="D49" s="47"/>
      <c r="E49" s="47"/>
      <c r="F49" s="48"/>
    </row>
    <row r="50" spans="2:10" ht="24" hidden="1" customHeight="1" x14ac:dyDescent="0.25"/>
    <row r="51" spans="2:10" ht="24" customHeight="1" x14ac:dyDescent="0.25">
      <c r="C51" s="363" t="s">
        <v>17</v>
      </c>
      <c r="D51" s="363"/>
      <c r="E51" s="363"/>
      <c r="F51" s="363"/>
      <c r="G51" s="363"/>
      <c r="H51" s="363"/>
      <c r="I51" s="363"/>
      <c r="J51" s="363"/>
    </row>
    <row r="52" spans="2:10" ht="24" customHeight="1" thickBot="1" x14ac:dyDescent="0.3"/>
    <row r="53" spans="2:10" ht="24" customHeight="1" thickBot="1" x14ac:dyDescent="0.3">
      <c r="C53" s="430" t="s">
        <v>17</v>
      </c>
      <c r="D53" s="431"/>
      <c r="E53" s="431"/>
      <c r="F53" s="431"/>
      <c r="G53" s="431"/>
      <c r="H53" s="431"/>
      <c r="I53" s="432"/>
    </row>
    <row r="54" spans="2:10" ht="30.75" customHeight="1" thickBot="1" x14ac:dyDescent="0.3">
      <c r="C54" s="21" t="s">
        <v>6</v>
      </c>
      <c r="D54" s="22" t="s">
        <v>26</v>
      </c>
      <c r="E54" s="42" t="s">
        <v>30</v>
      </c>
      <c r="F54" s="22" t="s">
        <v>27</v>
      </c>
      <c r="G54" s="42" t="s">
        <v>23</v>
      </c>
      <c r="H54" s="22" t="s">
        <v>28</v>
      </c>
      <c r="I54" s="23" t="s">
        <v>29</v>
      </c>
    </row>
    <row r="55" spans="2:10" ht="24" customHeight="1" x14ac:dyDescent="0.25">
      <c r="C55" s="24" t="s">
        <v>176</v>
      </c>
      <c r="D55" s="25">
        <f>D6</f>
        <v>0</v>
      </c>
      <c r="E55" s="43"/>
      <c r="F55" s="25">
        <v>0</v>
      </c>
      <c r="G55" s="43"/>
      <c r="H55" s="43"/>
      <c r="I55" s="27">
        <f>SUM(D55:H55)</f>
        <v>0</v>
      </c>
    </row>
    <row r="56" spans="2:10" ht="24" customHeight="1" thickBot="1" x14ac:dyDescent="0.3">
      <c r="C56" s="12" t="s">
        <v>216</v>
      </c>
      <c r="D56" s="36">
        <f>D7</f>
        <v>0</v>
      </c>
      <c r="E56" s="47"/>
      <c r="F56" s="36">
        <f>F55</f>
        <v>0</v>
      </c>
      <c r="G56" s="36">
        <v>0</v>
      </c>
      <c r="H56" s="47"/>
      <c r="I56" s="13">
        <f>SUM(D56:H56)</f>
        <v>0</v>
      </c>
    </row>
    <row r="57" spans="2:10" ht="24" hidden="1" customHeight="1" thickBot="1" x14ac:dyDescent="0.3">
      <c r="C57" s="17" t="s">
        <v>10</v>
      </c>
      <c r="D57" s="18">
        <f>D56</f>
        <v>0</v>
      </c>
      <c r="E57" s="49"/>
      <c r="F57" s="18">
        <f>F56</f>
        <v>0</v>
      </c>
      <c r="G57" s="49"/>
      <c r="H57" s="49"/>
      <c r="I57" s="50">
        <f t="shared" ref="I57:I60" si="1">SUM(D57:H57)</f>
        <v>0</v>
      </c>
    </row>
    <row r="58" spans="2:10" ht="24" hidden="1" customHeight="1" x14ac:dyDescent="0.25">
      <c r="C58" s="24" t="s">
        <v>11</v>
      </c>
      <c r="D58" s="25">
        <f>D7</f>
        <v>0</v>
      </c>
      <c r="E58" s="43"/>
      <c r="F58" s="25">
        <f>F20</f>
        <v>0</v>
      </c>
      <c r="G58" s="43"/>
      <c r="H58" s="43"/>
      <c r="I58" s="27">
        <f t="shared" si="1"/>
        <v>0</v>
      </c>
    </row>
    <row r="59" spans="2:10" ht="24" hidden="1" customHeight="1" x14ac:dyDescent="0.25">
      <c r="C59" s="28" t="s">
        <v>12</v>
      </c>
      <c r="D59" s="29">
        <f>D58</f>
        <v>0</v>
      </c>
      <c r="E59" s="45"/>
      <c r="F59" s="29">
        <f>F21</f>
        <v>0</v>
      </c>
      <c r="G59" s="29">
        <f>F38</f>
        <v>0</v>
      </c>
      <c r="H59" s="45"/>
      <c r="I59" s="31">
        <f t="shared" si="1"/>
        <v>0</v>
      </c>
    </row>
    <row r="60" spans="2:10" ht="24" hidden="1" customHeight="1" thickBot="1" x14ac:dyDescent="0.3">
      <c r="C60" s="12" t="s">
        <v>13</v>
      </c>
      <c r="D60" s="36">
        <f>D59</f>
        <v>0</v>
      </c>
      <c r="E60" s="47"/>
      <c r="F60" s="36">
        <f>F59</f>
        <v>0</v>
      </c>
      <c r="G60" s="47"/>
      <c r="H60" s="47"/>
      <c r="I60" s="13">
        <f t="shared" si="1"/>
        <v>0</v>
      </c>
    </row>
    <row r="61" spans="2:10" ht="24" customHeight="1" thickBot="1" x14ac:dyDescent="0.3"/>
    <row r="62" spans="2:10" ht="24" customHeight="1" thickBot="1" x14ac:dyDescent="0.3">
      <c r="B62" s="383" t="s">
        <v>84</v>
      </c>
      <c r="C62" s="384"/>
      <c r="D62" s="384"/>
      <c r="E62" s="384"/>
      <c r="F62" s="384"/>
      <c r="G62" s="384"/>
      <c r="H62" s="384"/>
      <c r="I62" s="385"/>
      <c r="J62" s="9"/>
    </row>
    <row r="64" spans="2:10" ht="24" customHeight="1" x14ac:dyDescent="0.25">
      <c r="C64" s="363" t="s">
        <v>31</v>
      </c>
      <c r="D64" s="363"/>
      <c r="E64" s="363"/>
      <c r="F64" s="363"/>
      <c r="G64" s="363"/>
      <c r="H64" s="363"/>
      <c r="I64" s="363"/>
      <c r="J64" s="363"/>
    </row>
    <row r="65" spans="3:7" ht="24" customHeight="1" thickBot="1" x14ac:dyDescent="0.3"/>
    <row r="66" spans="3:7" ht="24" customHeight="1" thickBot="1" x14ac:dyDescent="0.3">
      <c r="C66" s="395" t="s">
        <v>34</v>
      </c>
      <c r="D66" s="396"/>
      <c r="E66" s="396"/>
      <c r="F66" s="397"/>
    </row>
    <row r="67" spans="3:7" ht="24" customHeight="1" thickBot="1" x14ac:dyDescent="0.3">
      <c r="C67" s="51" t="s">
        <v>6</v>
      </c>
      <c r="D67" s="52" t="s">
        <v>2</v>
      </c>
      <c r="E67" s="52" t="s">
        <v>3</v>
      </c>
      <c r="F67" s="53" t="s">
        <v>14</v>
      </c>
    </row>
    <row r="68" spans="3:7" ht="24" customHeight="1" x14ac:dyDescent="0.25">
      <c r="C68" s="24" t="s">
        <v>176</v>
      </c>
      <c r="D68" s="25">
        <f t="shared" ref="D68:D73" si="2">I55</f>
        <v>0</v>
      </c>
      <c r="E68" s="54">
        <v>8.3333333333333343E-2</v>
      </c>
      <c r="F68" s="27">
        <f t="shared" ref="F68:F73" si="3">D68*E68</f>
        <v>0</v>
      </c>
    </row>
    <row r="69" spans="3:7" ht="24" customHeight="1" thickBot="1" x14ac:dyDescent="0.3">
      <c r="C69" s="12" t="s">
        <v>216</v>
      </c>
      <c r="D69" s="36">
        <f t="shared" si="2"/>
        <v>0</v>
      </c>
      <c r="E69" s="55">
        <v>8.3333333333333343E-2</v>
      </c>
      <c r="F69" s="13">
        <f t="shared" si="3"/>
        <v>0</v>
      </c>
    </row>
    <row r="70" spans="3:7" ht="24" hidden="1" customHeight="1" thickBot="1" x14ac:dyDescent="0.3">
      <c r="C70" s="17" t="s">
        <v>10</v>
      </c>
      <c r="D70" s="18">
        <f t="shared" si="2"/>
        <v>0</v>
      </c>
      <c r="E70" s="56">
        <v>8.3333333333333343E-2</v>
      </c>
      <c r="F70" s="50">
        <f t="shared" si="3"/>
        <v>0</v>
      </c>
    </row>
    <row r="71" spans="3:7" ht="24" hidden="1" customHeight="1" x14ac:dyDescent="0.25">
      <c r="C71" s="24" t="s">
        <v>11</v>
      </c>
      <c r="D71" s="25">
        <f t="shared" si="2"/>
        <v>0</v>
      </c>
      <c r="E71" s="54">
        <v>8.3333333333333343E-2</v>
      </c>
      <c r="F71" s="27">
        <f t="shared" si="3"/>
        <v>0</v>
      </c>
    </row>
    <row r="72" spans="3:7" ht="24" hidden="1" customHeight="1" x14ac:dyDescent="0.25">
      <c r="C72" s="28" t="s">
        <v>12</v>
      </c>
      <c r="D72" s="29">
        <f t="shared" si="2"/>
        <v>0</v>
      </c>
      <c r="E72" s="57">
        <v>8.3333333333333343E-2</v>
      </c>
      <c r="F72" s="31">
        <f t="shared" si="3"/>
        <v>0</v>
      </c>
    </row>
    <row r="73" spans="3:7" ht="24" hidden="1" customHeight="1" thickBot="1" x14ac:dyDescent="0.3">
      <c r="C73" s="12" t="s">
        <v>13</v>
      </c>
      <c r="D73" s="36">
        <f t="shared" si="2"/>
        <v>0</v>
      </c>
      <c r="E73" s="55">
        <v>8.3333333333333343E-2</v>
      </c>
      <c r="F73" s="13">
        <f t="shared" si="3"/>
        <v>0</v>
      </c>
    </row>
    <row r="74" spans="3:7" ht="24" customHeight="1" thickBot="1" x14ac:dyDescent="0.3"/>
    <row r="75" spans="3:7" ht="24" customHeight="1" thickBot="1" x14ac:dyDescent="0.3">
      <c r="C75" s="395" t="s">
        <v>32</v>
      </c>
      <c r="D75" s="396"/>
      <c r="E75" s="396"/>
      <c r="F75" s="396"/>
      <c r="G75" s="397"/>
    </row>
    <row r="76" spans="3:7" ht="38.25" customHeight="1" thickBot="1" x14ac:dyDescent="0.3">
      <c r="C76" s="51" t="s">
        <v>6</v>
      </c>
      <c r="D76" s="52" t="s">
        <v>2</v>
      </c>
      <c r="E76" s="58" t="s">
        <v>33</v>
      </c>
      <c r="F76" s="52" t="s">
        <v>3</v>
      </c>
      <c r="G76" s="53" t="s">
        <v>14</v>
      </c>
    </row>
    <row r="77" spans="3:7" ht="24" customHeight="1" x14ac:dyDescent="0.25">
      <c r="C77" s="24" t="s">
        <v>176</v>
      </c>
      <c r="D77" s="25">
        <f t="shared" ref="D77:D82" si="4">D68</f>
        <v>0</v>
      </c>
      <c r="E77" s="38">
        <f t="shared" ref="E77:E82" si="5">1/3</f>
        <v>0.33333333333333331</v>
      </c>
      <c r="F77" s="54">
        <v>8.3333333333333343E-2</v>
      </c>
      <c r="G77" s="27">
        <f t="shared" ref="G77:G82" si="6">D77*E77*F77</f>
        <v>0</v>
      </c>
    </row>
    <row r="78" spans="3:7" ht="24" customHeight="1" thickBot="1" x14ac:dyDescent="0.3">
      <c r="C78" s="12" t="s">
        <v>216</v>
      </c>
      <c r="D78" s="36">
        <f t="shared" si="4"/>
        <v>0</v>
      </c>
      <c r="E78" s="39">
        <f t="shared" si="5"/>
        <v>0.33333333333333331</v>
      </c>
      <c r="F78" s="55">
        <v>8.3333333333333343E-2</v>
      </c>
      <c r="G78" s="13">
        <f t="shared" si="6"/>
        <v>0</v>
      </c>
    </row>
    <row r="79" spans="3:7" ht="24" hidden="1" customHeight="1" x14ac:dyDescent="0.25">
      <c r="C79" s="10" t="s">
        <v>10</v>
      </c>
      <c r="D79" s="59">
        <f t="shared" si="4"/>
        <v>0</v>
      </c>
      <c r="E79" s="60">
        <f t="shared" si="5"/>
        <v>0.33333333333333331</v>
      </c>
      <c r="F79" s="61">
        <v>8.3333333333333343E-2</v>
      </c>
      <c r="G79" s="11">
        <f t="shared" si="6"/>
        <v>0</v>
      </c>
    </row>
    <row r="80" spans="3:7" ht="24" hidden="1" customHeight="1" x14ac:dyDescent="0.25">
      <c r="C80" s="28" t="s">
        <v>11</v>
      </c>
      <c r="D80" s="29">
        <f t="shared" si="4"/>
        <v>0</v>
      </c>
      <c r="E80" s="62">
        <f t="shared" si="5"/>
        <v>0.33333333333333331</v>
      </c>
      <c r="F80" s="57">
        <v>8.3333333333333343E-2</v>
      </c>
      <c r="G80" s="31">
        <f t="shared" si="6"/>
        <v>0</v>
      </c>
    </row>
    <row r="81" spans="3:7" ht="24" hidden="1" customHeight="1" x14ac:dyDescent="0.25">
      <c r="C81" s="28" t="s">
        <v>12</v>
      </c>
      <c r="D81" s="29">
        <f t="shared" si="4"/>
        <v>0</v>
      </c>
      <c r="E81" s="62">
        <f t="shared" si="5"/>
        <v>0.33333333333333331</v>
      </c>
      <c r="F81" s="57">
        <v>8.3333333333333343E-2</v>
      </c>
      <c r="G81" s="31">
        <f t="shared" si="6"/>
        <v>0</v>
      </c>
    </row>
    <row r="82" spans="3:7" ht="24" hidden="1" customHeight="1" thickBot="1" x14ac:dyDescent="0.3">
      <c r="C82" s="12" t="s">
        <v>13</v>
      </c>
      <c r="D82" s="36">
        <f t="shared" si="4"/>
        <v>0</v>
      </c>
      <c r="E82" s="39">
        <f t="shared" si="5"/>
        <v>0.33333333333333331</v>
      </c>
      <c r="F82" s="55">
        <v>8.3333333333333343E-2</v>
      </c>
      <c r="G82" s="13">
        <f t="shared" si="6"/>
        <v>0</v>
      </c>
    </row>
    <row r="83" spans="3:7" ht="24" customHeight="1" thickBot="1" x14ac:dyDescent="0.3"/>
    <row r="84" spans="3:7" ht="24" customHeight="1" thickBot="1" x14ac:dyDescent="0.3">
      <c r="C84" s="395" t="s">
        <v>150</v>
      </c>
      <c r="D84" s="396"/>
      <c r="E84" s="396"/>
      <c r="F84" s="397"/>
    </row>
    <row r="85" spans="3:7" ht="24" customHeight="1" thickBot="1" x14ac:dyDescent="0.3">
      <c r="C85" s="51" t="s">
        <v>6</v>
      </c>
      <c r="D85" s="52" t="s">
        <v>2</v>
      </c>
      <c r="E85" s="52" t="s">
        <v>3</v>
      </c>
      <c r="F85" s="53" t="s">
        <v>14</v>
      </c>
    </row>
    <row r="86" spans="3:7" ht="24" customHeight="1" x14ac:dyDescent="0.25">
      <c r="C86" s="24" t="s">
        <v>176</v>
      </c>
      <c r="D86" s="25">
        <f t="shared" ref="D86:D91" si="7">D77</f>
        <v>0</v>
      </c>
      <c r="E86" s="54">
        <v>8.3333333333333343E-2</v>
      </c>
      <c r="F86" s="27">
        <f t="shared" ref="F86:F91" si="8">D86*E86</f>
        <v>0</v>
      </c>
    </row>
    <row r="87" spans="3:7" ht="24" customHeight="1" thickBot="1" x14ac:dyDescent="0.3">
      <c r="C87" s="12" t="s">
        <v>216</v>
      </c>
      <c r="D87" s="36">
        <f t="shared" si="7"/>
        <v>0</v>
      </c>
      <c r="E87" s="55">
        <v>8.3333333333333343E-2</v>
      </c>
      <c r="F87" s="13">
        <f t="shared" si="8"/>
        <v>0</v>
      </c>
    </row>
    <row r="88" spans="3:7" ht="24" hidden="1" customHeight="1" x14ac:dyDescent="0.25">
      <c r="C88" s="10" t="s">
        <v>10</v>
      </c>
      <c r="D88" s="59">
        <f t="shared" si="7"/>
        <v>0</v>
      </c>
      <c r="E88" s="61">
        <v>8.3333333333333343E-2</v>
      </c>
      <c r="F88" s="11">
        <f t="shared" si="8"/>
        <v>0</v>
      </c>
    </row>
    <row r="89" spans="3:7" ht="24" hidden="1" customHeight="1" x14ac:dyDescent="0.25">
      <c r="C89" s="28" t="s">
        <v>11</v>
      </c>
      <c r="D89" s="29">
        <f t="shared" si="7"/>
        <v>0</v>
      </c>
      <c r="E89" s="57">
        <v>8.3333333333333343E-2</v>
      </c>
      <c r="F89" s="31">
        <f t="shared" si="8"/>
        <v>0</v>
      </c>
    </row>
    <row r="90" spans="3:7" ht="24" hidden="1" customHeight="1" x14ac:dyDescent="0.25">
      <c r="C90" s="28" t="s">
        <v>12</v>
      </c>
      <c r="D90" s="29">
        <f t="shared" si="7"/>
        <v>0</v>
      </c>
      <c r="E90" s="57">
        <v>8.3333333333333343E-2</v>
      </c>
      <c r="F90" s="31">
        <f t="shared" si="8"/>
        <v>0</v>
      </c>
    </row>
    <row r="91" spans="3:7" ht="24" hidden="1" customHeight="1" thickBot="1" x14ac:dyDescent="0.3">
      <c r="C91" s="12" t="s">
        <v>13</v>
      </c>
      <c r="D91" s="36">
        <f t="shared" si="7"/>
        <v>0</v>
      </c>
      <c r="E91" s="55">
        <v>8.3333333333333343E-2</v>
      </c>
      <c r="F91" s="13">
        <f t="shared" si="8"/>
        <v>0</v>
      </c>
    </row>
    <row r="92" spans="3:7" ht="24" customHeight="1" thickBot="1" x14ac:dyDescent="0.3"/>
    <row r="93" spans="3:7" ht="24" customHeight="1" thickBot="1" x14ac:dyDescent="0.3">
      <c r="C93" s="395" t="s">
        <v>31</v>
      </c>
      <c r="D93" s="396"/>
      <c r="E93" s="396"/>
      <c r="F93" s="396"/>
      <c r="G93" s="397"/>
    </row>
    <row r="94" spans="3:7" ht="24" customHeight="1" thickBot="1" x14ac:dyDescent="0.3">
      <c r="C94" s="51" t="s">
        <v>6</v>
      </c>
      <c r="D94" s="52" t="s">
        <v>151</v>
      </c>
      <c r="E94" s="52" t="s">
        <v>35</v>
      </c>
      <c r="F94" s="52" t="s">
        <v>152</v>
      </c>
      <c r="G94" s="53" t="s">
        <v>29</v>
      </c>
    </row>
    <row r="95" spans="3:7" ht="24" customHeight="1" x14ac:dyDescent="0.25">
      <c r="C95" s="24" t="s">
        <v>176</v>
      </c>
      <c r="D95" s="25">
        <f>F68</f>
        <v>0</v>
      </c>
      <c r="E95" s="25">
        <f>G77</f>
        <v>0</v>
      </c>
      <c r="F95" s="25">
        <f>F86</f>
        <v>0</v>
      </c>
      <c r="G95" s="27">
        <f>SUM(D95:F95)</f>
        <v>0</v>
      </c>
    </row>
    <row r="96" spans="3:7" ht="24" customHeight="1" thickBot="1" x14ac:dyDescent="0.3">
      <c r="C96" s="12" t="s">
        <v>216</v>
      </c>
      <c r="D96" s="36">
        <f>F69</f>
        <v>0</v>
      </c>
      <c r="E96" s="36">
        <f>G78</f>
        <v>0</v>
      </c>
      <c r="F96" s="36">
        <f>F87</f>
        <v>0</v>
      </c>
      <c r="G96" s="13">
        <f>SUM(D96:F96)</f>
        <v>0</v>
      </c>
    </row>
    <row r="98" spans="3:10" ht="24" customHeight="1" x14ac:dyDescent="0.25">
      <c r="C98" s="363" t="s">
        <v>37</v>
      </c>
      <c r="D98" s="363"/>
      <c r="E98" s="363"/>
      <c r="F98" s="363"/>
      <c r="G98" s="363"/>
      <c r="H98" s="363"/>
      <c r="I98" s="363"/>
      <c r="J98" s="363"/>
    </row>
    <row r="99" spans="3:10" ht="24" customHeight="1" thickBot="1" x14ac:dyDescent="0.3"/>
    <row r="100" spans="3:10" ht="24" customHeight="1" thickBot="1" x14ac:dyDescent="0.3">
      <c r="C100" s="398" t="s">
        <v>38</v>
      </c>
      <c r="D100" s="399"/>
    </row>
    <row r="101" spans="3:10" ht="24" customHeight="1" x14ac:dyDescent="0.25">
      <c r="C101" s="21" t="s">
        <v>39</v>
      </c>
      <c r="D101" s="23" t="s">
        <v>3</v>
      </c>
    </row>
    <row r="102" spans="3:10" ht="24" customHeight="1" x14ac:dyDescent="0.25">
      <c r="C102" s="28" t="s">
        <v>40</v>
      </c>
      <c r="D102" s="63">
        <v>0.2</v>
      </c>
    </row>
    <row r="103" spans="3:10" ht="24" customHeight="1" x14ac:dyDescent="0.25">
      <c r="C103" s="28" t="s">
        <v>41</v>
      </c>
      <c r="D103" s="63">
        <v>2.5000000000000001E-2</v>
      </c>
    </row>
    <row r="104" spans="3:10" ht="24" customHeight="1" x14ac:dyDescent="0.25">
      <c r="C104" s="28" t="s">
        <v>42</v>
      </c>
      <c r="D104" s="63">
        <v>0.03</v>
      </c>
      <c r="E104" s="393"/>
      <c r="F104" s="393"/>
      <c r="G104" s="393"/>
    </row>
    <row r="105" spans="3:10" ht="24" customHeight="1" x14ac:dyDescent="0.25">
      <c r="C105" s="28" t="s">
        <v>43</v>
      </c>
      <c r="D105" s="63">
        <v>1.4999999999999999E-2</v>
      </c>
    </row>
    <row r="106" spans="3:10" ht="24" customHeight="1" x14ac:dyDescent="0.25">
      <c r="C106" s="28" t="s">
        <v>44</v>
      </c>
      <c r="D106" s="63">
        <v>0.01</v>
      </c>
      <c r="F106" s="64"/>
      <c r="G106" s="64"/>
      <c r="H106" s="64"/>
    </row>
    <row r="107" spans="3:10" ht="24" customHeight="1" x14ac:dyDescent="0.25">
      <c r="C107" s="28" t="s">
        <v>45</v>
      </c>
      <c r="D107" s="63">
        <v>6.0000000000000001E-3</v>
      </c>
      <c r="F107" s="433"/>
      <c r="G107" s="433"/>
      <c r="H107" s="433"/>
    </row>
    <row r="108" spans="3:10" ht="24" customHeight="1" x14ac:dyDescent="0.25">
      <c r="C108" s="28" t="s">
        <v>46</v>
      </c>
      <c r="D108" s="63">
        <v>2E-3</v>
      </c>
      <c r="F108" s="433"/>
      <c r="G108" s="433"/>
      <c r="H108" s="433"/>
    </row>
    <row r="109" spans="3:10" ht="24" customHeight="1" x14ac:dyDescent="0.25">
      <c r="C109" s="28" t="s">
        <v>47</v>
      </c>
      <c r="D109" s="63">
        <v>0.08</v>
      </c>
    </row>
    <row r="110" spans="3:10" ht="24" customHeight="1" thickBot="1" x14ac:dyDescent="0.3">
      <c r="C110" s="65" t="s">
        <v>48</v>
      </c>
      <c r="D110" s="66">
        <v>0.36800000000000005</v>
      </c>
    </row>
    <row r="111" spans="3:10" ht="24" customHeight="1" thickBot="1" x14ac:dyDescent="0.3"/>
    <row r="112" spans="3:10" ht="24" customHeight="1" thickBot="1" x14ac:dyDescent="0.3">
      <c r="C112" s="398" t="s">
        <v>49</v>
      </c>
      <c r="D112" s="410"/>
      <c r="E112" s="410"/>
      <c r="F112" s="399"/>
    </row>
    <row r="113" spans="3:7" ht="24" customHeight="1" thickBot="1" x14ac:dyDescent="0.3">
      <c r="C113" s="51" t="s">
        <v>6</v>
      </c>
      <c r="D113" s="52" t="s">
        <v>2</v>
      </c>
      <c r="E113" s="52" t="s">
        <v>3</v>
      </c>
      <c r="F113" s="53" t="s">
        <v>14</v>
      </c>
    </row>
    <row r="114" spans="3:7" ht="24" customHeight="1" x14ac:dyDescent="0.25">
      <c r="C114" s="24" t="s">
        <v>176</v>
      </c>
      <c r="D114" s="25">
        <f>I55+G95</f>
        <v>0</v>
      </c>
      <c r="E114" s="54">
        <f>SUM(D102:$D$108)</f>
        <v>0.28800000000000003</v>
      </c>
      <c r="F114" s="27">
        <f t="shared" ref="F114:F119" si="9">D114*E114</f>
        <v>0</v>
      </c>
      <c r="G114" s="67"/>
    </row>
    <row r="115" spans="3:7" ht="24" customHeight="1" thickBot="1" x14ac:dyDescent="0.3">
      <c r="C115" s="12" t="s">
        <v>216</v>
      </c>
      <c r="D115" s="36">
        <f>I56+G96</f>
        <v>0</v>
      </c>
      <c r="E115" s="55">
        <f>E114</f>
        <v>0.28800000000000003</v>
      </c>
      <c r="F115" s="13">
        <f t="shared" si="9"/>
        <v>0</v>
      </c>
    </row>
    <row r="116" spans="3:7" ht="24" hidden="1" customHeight="1" x14ac:dyDescent="0.25">
      <c r="C116" s="68" t="s">
        <v>10</v>
      </c>
      <c r="D116" s="59" t="e">
        <f>I57+#REF!</f>
        <v>#REF!</v>
      </c>
      <c r="E116" s="61">
        <f>E114</f>
        <v>0.28800000000000003</v>
      </c>
      <c r="F116" s="69" t="e">
        <f t="shared" si="9"/>
        <v>#REF!</v>
      </c>
    </row>
    <row r="117" spans="3:7" ht="24" hidden="1" customHeight="1" x14ac:dyDescent="0.25">
      <c r="C117" s="45" t="s">
        <v>11</v>
      </c>
      <c r="D117" s="29" t="e">
        <f>I58+#REF!</f>
        <v>#REF!</v>
      </c>
      <c r="E117" s="57">
        <f>E116</f>
        <v>0.28800000000000003</v>
      </c>
      <c r="F117" s="70" t="e">
        <f t="shared" si="9"/>
        <v>#REF!</v>
      </c>
    </row>
    <row r="118" spans="3:7" ht="24" hidden="1" customHeight="1" x14ac:dyDescent="0.25">
      <c r="C118" s="45" t="s">
        <v>12</v>
      </c>
      <c r="D118" s="29" t="e">
        <f>I59+#REF!</f>
        <v>#REF!</v>
      </c>
      <c r="E118" s="57">
        <f>E114</f>
        <v>0.28800000000000003</v>
      </c>
      <c r="F118" s="70" t="e">
        <f t="shared" si="9"/>
        <v>#REF!</v>
      </c>
    </row>
    <row r="119" spans="3:7" ht="24" hidden="1" customHeight="1" x14ac:dyDescent="0.25">
      <c r="C119" s="45" t="s">
        <v>13</v>
      </c>
      <c r="D119" s="29" t="e">
        <f>I60+#REF!</f>
        <v>#REF!</v>
      </c>
      <c r="E119" s="57">
        <f>E118</f>
        <v>0.28800000000000003</v>
      </c>
      <c r="F119" s="70" t="e">
        <f t="shared" si="9"/>
        <v>#REF!</v>
      </c>
    </row>
    <row r="120" spans="3:7" ht="24" customHeight="1" thickBot="1" x14ac:dyDescent="0.3"/>
    <row r="121" spans="3:7" ht="24" customHeight="1" thickBot="1" x14ac:dyDescent="0.3">
      <c r="C121" s="398" t="s">
        <v>50</v>
      </c>
      <c r="D121" s="410"/>
      <c r="E121" s="410"/>
      <c r="F121" s="399"/>
    </row>
    <row r="122" spans="3:7" ht="24" customHeight="1" thickBot="1" x14ac:dyDescent="0.3">
      <c r="C122" s="51" t="s">
        <v>6</v>
      </c>
      <c r="D122" s="52" t="s">
        <v>2</v>
      </c>
      <c r="E122" s="52" t="s">
        <v>3</v>
      </c>
      <c r="F122" s="53" t="s">
        <v>14</v>
      </c>
    </row>
    <row r="123" spans="3:7" ht="24" customHeight="1" x14ac:dyDescent="0.25">
      <c r="C123" s="24" t="s">
        <v>176</v>
      </c>
      <c r="D123" s="25">
        <f>I55+G95</f>
        <v>0</v>
      </c>
      <c r="E123" s="54">
        <f t="shared" ref="E123:E128" si="10">$D$109</f>
        <v>0.08</v>
      </c>
      <c r="F123" s="27">
        <f t="shared" ref="F123:F128" si="11">D123*$E$123</f>
        <v>0</v>
      </c>
    </row>
    <row r="124" spans="3:7" ht="24" customHeight="1" thickBot="1" x14ac:dyDescent="0.3">
      <c r="C124" s="12" t="s">
        <v>216</v>
      </c>
      <c r="D124" s="36">
        <f>I56+G96</f>
        <v>0</v>
      </c>
      <c r="E124" s="55">
        <f t="shared" si="10"/>
        <v>0.08</v>
      </c>
      <c r="F124" s="13">
        <f t="shared" si="11"/>
        <v>0</v>
      </c>
    </row>
    <row r="125" spans="3:7" ht="24" hidden="1" customHeight="1" x14ac:dyDescent="0.25">
      <c r="C125" s="10" t="s">
        <v>10</v>
      </c>
      <c r="D125" s="59" t="e">
        <f>I57+#REF!</f>
        <v>#REF!</v>
      </c>
      <c r="E125" s="61">
        <f t="shared" si="10"/>
        <v>0.08</v>
      </c>
      <c r="F125" s="11" t="e">
        <f t="shared" si="11"/>
        <v>#REF!</v>
      </c>
    </row>
    <row r="126" spans="3:7" ht="24" hidden="1" customHeight="1" x14ac:dyDescent="0.25">
      <c r="C126" s="28" t="s">
        <v>11</v>
      </c>
      <c r="D126" s="29" t="e">
        <f>I58+#REF!</f>
        <v>#REF!</v>
      </c>
      <c r="E126" s="57">
        <f t="shared" si="10"/>
        <v>0.08</v>
      </c>
      <c r="F126" s="31" t="e">
        <f t="shared" si="11"/>
        <v>#REF!</v>
      </c>
    </row>
    <row r="127" spans="3:7" ht="24" hidden="1" customHeight="1" x14ac:dyDescent="0.25">
      <c r="C127" s="28" t="s">
        <v>12</v>
      </c>
      <c r="D127" s="29" t="e">
        <f>I59+#REF!</f>
        <v>#REF!</v>
      </c>
      <c r="E127" s="57">
        <f t="shared" si="10"/>
        <v>0.08</v>
      </c>
      <c r="F127" s="31" t="e">
        <f t="shared" si="11"/>
        <v>#REF!</v>
      </c>
    </row>
    <row r="128" spans="3:7" ht="24" hidden="1" customHeight="1" thickBot="1" x14ac:dyDescent="0.3">
      <c r="C128" s="12" t="s">
        <v>13</v>
      </c>
      <c r="D128" s="36" t="e">
        <f>I60+#REF!</f>
        <v>#REF!</v>
      </c>
      <c r="E128" s="55">
        <f t="shared" si="10"/>
        <v>0.08</v>
      </c>
      <c r="F128" s="13" t="e">
        <f t="shared" si="11"/>
        <v>#REF!</v>
      </c>
    </row>
    <row r="129" spans="3:13" ht="24" customHeight="1" thickBot="1" x14ac:dyDescent="0.3"/>
    <row r="130" spans="3:13" ht="24" customHeight="1" thickBot="1" x14ac:dyDescent="0.3">
      <c r="C130" s="398" t="s">
        <v>37</v>
      </c>
      <c r="D130" s="410"/>
      <c r="E130" s="410"/>
      <c r="F130" s="399"/>
    </row>
    <row r="131" spans="3:13" ht="24" customHeight="1" thickBot="1" x14ac:dyDescent="0.3">
      <c r="C131" s="51" t="s">
        <v>6</v>
      </c>
      <c r="D131" s="52" t="s">
        <v>51</v>
      </c>
      <c r="E131" s="52" t="s">
        <v>47</v>
      </c>
      <c r="F131" s="53" t="s">
        <v>29</v>
      </c>
    </row>
    <row r="132" spans="3:13" ht="24" customHeight="1" x14ac:dyDescent="0.25">
      <c r="C132" s="24" t="s">
        <v>176</v>
      </c>
      <c r="D132" s="25">
        <f t="shared" ref="D132:D137" si="12">F114</f>
        <v>0</v>
      </c>
      <c r="E132" s="25">
        <f t="shared" ref="E132:E137" si="13">F123</f>
        <v>0</v>
      </c>
      <c r="F132" s="27">
        <f t="shared" ref="F132:F137" si="14">D132+E132</f>
        <v>0</v>
      </c>
    </row>
    <row r="133" spans="3:13" ht="24" customHeight="1" thickBot="1" x14ac:dyDescent="0.3">
      <c r="C133" s="12" t="s">
        <v>216</v>
      </c>
      <c r="D133" s="36">
        <f t="shared" si="12"/>
        <v>0</v>
      </c>
      <c r="E133" s="36">
        <f t="shared" si="13"/>
        <v>0</v>
      </c>
      <c r="F133" s="13">
        <f t="shared" si="14"/>
        <v>0</v>
      </c>
    </row>
    <row r="134" spans="3:13" ht="24" hidden="1" customHeight="1" x14ac:dyDescent="0.25">
      <c r="C134" s="10" t="s">
        <v>10</v>
      </c>
      <c r="D134" s="59" t="e">
        <f t="shared" si="12"/>
        <v>#REF!</v>
      </c>
      <c r="E134" s="59" t="e">
        <f t="shared" si="13"/>
        <v>#REF!</v>
      </c>
      <c r="F134" s="11" t="e">
        <f t="shared" si="14"/>
        <v>#REF!</v>
      </c>
    </row>
    <row r="135" spans="3:13" ht="24" hidden="1" customHeight="1" x14ac:dyDescent="0.25">
      <c r="C135" s="28" t="s">
        <v>11</v>
      </c>
      <c r="D135" s="29" t="e">
        <f t="shared" si="12"/>
        <v>#REF!</v>
      </c>
      <c r="E135" s="29" t="e">
        <f t="shared" si="13"/>
        <v>#REF!</v>
      </c>
      <c r="F135" s="31" t="e">
        <f t="shared" si="14"/>
        <v>#REF!</v>
      </c>
    </row>
    <row r="136" spans="3:13" ht="24" hidden="1" customHeight="1" x14ac:dyDescent="0.25">
      <c r="C136" s="28" t="s">
        <v>12</v>
      </c>
      <c r="D136" s="29" t="e">
        <f t="shared" si="12"/>
        <v>#REF!</v>
      </c>
      <c r="E136" s="29" t="e">
        <f t="shared" si="13"/>
        <v>#REF!</v>
      </c>
      <c r="F136" s="31" t="e">
        <f t="shared" si="14"/>
        <v>#REF!</v>
      </c>
    </row>
    <row r="137" spans="3:13" ht="24" hidden="1" customHeight="1" thickBot="1" x14ac:dyDescent="0.3">
      <c r="C137" s="12" t="s">
        <v>13</v>
      </c>
      <c r="D137" s="36" t="e">
        <f t="shared" si="12"/>
        <v>#REF!</v>
      </c>
      <c r="E137" s="36" t="e">
        <f t="shared" si="13"/>
        <v>#REF!</v>
      </c>
      <c r="F137" s="13" t="e">
        <f t="shared" si="14"/>
        <v>#REF!</v>
      </c>
    </row>
    <row r="139" spans="3:13" ht="24" customHeight="1" x14ac:dyDescent="0.25">
      <c r="C139" s="363" t="s">
        <v>52</v>
      </c>
      <c r="D139" s="363"/>
      <c r="E139" s="363"/>
      <c r="F139" s="363"/>
      <c r="G139" s="363"/>
      <c r="H139" s="363"/>
      <c r="I139" s="363"/>
      <c r="J139" s="363"/>
    </row>
    <row r="141" spans="3:13" ht="24" customHeight="1" x14ac:dyDescent="0.25">
      <c r="C141" s="363" t="s">
        <v>53</v>
      </c>
      <c r="D141" s="363"/>
      <c r="E141" s="363"/>
      <c r="F141" s="363"/>
      <c r="G141" s="363"/>
      <c r="H141" s="363"/>
      <c r="I141" s="363"/>
      <c r="J141" s="363"/>
    </row>
    <row r="142" spans="3:13" ht="24" customHeight="1" thickBot="1" x14ac:dyDescent="0.3"/>
    <row r="143" spans="3:13" ht="24" customHeight="1" thickBot="1" x14ac:dyDescent="0.3">
      <c r="C143" s="398" t="s">
        <v>58</v>
      </c>
      <c r="D143" s="410"/>
      <c r="E143" s="410"/>
      <c r="F143" s="410"/>
      <c r="G143" s="399"/>
      <c r="I143" s="71"/>
      <c r="J143" s="71"/>
      <c r="K143" s="71"/>
      <c r="L143" s="71"/>
      <c r="M143" s="71"/>
    </row>
    <row r="144" spans="3:13" ht="36" customHeight="1" thickBot="1" x14ac:dyDescent="0.3">
      <c r="C144" s="51" t="s">
        <v>6</v>
      </c>
      <c r="D144" s="52" t="s">
        <v>54</v>
      </c>
      <c r="E144" s="52" t="s">
        <v>55</v>
      </c>
      <c r="F144" s="58" t="s">
        <v>57</v>
      </c>
      <c r="G144" s="53" t="s">
        <v>56</v>
      </c>
      <c r="I144" s="412"/>
      <c r="J144" s="412"/>
      <c r="K144" s="412"/>
      <c r="L144" s="412"/>
      <c r="M144" s="71"/>
    </row>
    <row r="145" spans="3:13" ht="24" customHeight="1" x14ac:dyDescent="0.25">
      <c r="C145" s="24" t="s">
        <v>176</v>
      </c>
      <c r="D145" s="25">
        <v>3.8</v>
      </c>
      <c r="E145" s="72">
        <v>2</v>
      </c>
      <c r="F145" s="73">
        <v>22</v>
      </c>
      <c r="G145" s="27">
        <f t="shared" ref="G145:G150" si="15">D145*E145*F145</f>
        <v>167.2</v>
      </c>
      <c r="I145" s="405"/>
      <c r="J145" s="405"/>
      <c r="K145" s="405"/>
      <c r="L145" s="405"/>
      <c r="M145" s="71"/>
    </row>
    <row r="146" spans="3:13" ht="24" customHeight="1" thickBot="1" x14ac:dyDescent="0.3">
      <c r="C146" s="12" t="s">
        <v>216</v>
      </c>
      <c r="D146" s="36">
        <v>3.8</v>
      </c>
      <c r="E146" s="74">
        <v>2</v>
      </c>
      <c r="F146" s="75">
        <v>22</v>
      </c>
      <c r="G146" s="13">
        <f t="shared" si="15"/>
        <v>167.2</v>
      </c>
      <c r="I146" s="405"/>
      <c r="J146" s="405"/>
      <c r="K146" s="405"/>
      <c r="L146" s="405"/>
      <c r="M146" s="71"/>
    </row>
    <row r="147" spans="3:13" ht="24" hidden="1" customHeight="1" x14ac:dyDescent="0.25">
      <c r="C147" s="68" t="s">
        <v>10</v>
      </c>
      <c r="D147" s="59">
        <v>3.8</v>
      </c>
      <c r="E147" s="76">
        <v>2</v>
      </c>
      <c r="F147" s="77">
        <v>22</v>
      </c>
      <c r="G147" s="69">
        <f t="shared" si="15"/>
        <v>167.2</v>
      </c>
      <c r="I147" s="425"/>
      <c r="J147" s="425"/>
      <c r="K147" s="425"/>
      <c r="L147" s="425"/>
      <c r="M147" s="71"/>
    </row>
    <row r="148" spans="3:13" ht="24" hidden="1" customHeight="1" x14ac:dyDescent="0.25">
      <c r="C148" s="45" t="s">
        <v>11</v>
      </c>
      <c r="D148" s="29">
        <v>3.8</v>
      </c>
      <c r="E148" s="78">
        <v>2</v>
      </c>
      <c r="F148" s="79">
        <v>15</v>
      </c>
      <c r="G148" s="70">
        <f t="shared" si="15"/>
        <v>114</v>
      </c>
      <c r="I148" s="425"/>
      <c r="J148" s="425"/>
      <c r="K148" s="425"/>
      <c r="L148" s="425"/>
      <c r="M148" s="71"/>
    </row>
    <row r="149" spans="3:13" ht="24" hidden="1" customHeight="1" x14ac:dyDescent="0.25">
      <c r="C149" s="45" t="s">
        <v>12</v>
      </c>
      <c r="D149" s="29">
        <v>3.8</v>
      </c>
      <c r="E149" s="78">
        <v>2</v>
      </c>
      <c r="F149" s="79">
        <v>15</v>
      </c>
      <c r="G149" s="70">
        <f t="shared" si="15"/>
        <v>114</v>
      </c>
      <c r="I149" s="425"/>
      <c r="J149" s="425"/>
      <c r="K149" s="425"/>
      <c r="L149" s="425"/>
      <c r="M149" s="71"/>
    </row>
    <row r="150" spans="3:13" ht="24" hidden="1" customHeight="1" x14ac:dyDescent="0.25">
      <c r="C150" s="45" t="s">
        <v>13</v>
      </c>
      <c r="D150" s="29">
        <v>3.8</v>
      </c>
      <c r="E150" s="78">
        <v>2</v>
      </c>
      <c r="F150" s="79">
        <v>22</v>
      </c>
      <c r="G150" s="70">
        <f t="shared" si="15"/>
        <v>167.2</v>
      </c>
      <c r="I150" s="71"/>
      <c r="J150" s="71"/>
      <c r="K150" s="71"/>
      <c r="L150" s="71"/>
      <c r="M150" s="71"/>
    </row>
    <row r="151" spans="3:13" ht="24" customHeight="1" thickBot="1" x14ac:dyDescent="0.3">
      <c r="I151" s="71"/>
      <c r="J151" s="71"/>
      <c r="K151" s="71"/>
      <c r="L151" s="71"/>
      <c r="M151" s="71"/>
    </row>
    <row r="152" spans="3:13" ht="24" customHeight="1" thickBot="1" x14ac:dyDescent="0.3">
      <c r="C152" s="398" t="s">
        <v>62</v>
      </c>
      <c r="D152" s="410"/>
      <c r="E152" s="410"/>
      <c r="F152" s="410"/>
      <c r="G152" s="399"/>
      <c r="I152" s="71"/>
      <c r="J152" s="71"/>
      <c r="K152" s="71"/>
      <c r="L152" s="71"/>
      <c r="M152" s="71"/>
    </row>
    <row r="153" spans="3:13" ht="24" customHeight="1" thickBot="1" x14ac:dyDescent="0.3">
      <c r="C153" s="51" t="s">
        <v>6</v>
      </c>
      <c r="D153" s="52" t="s">
        <v>2</v>
      </c>
      <c r="E153" s="52" t="s">
        <v>59</v>
      </c>
      <c r="F153" s="52" t="s">
        <v>3</v>
      </c>
      <c r="G153" s="53" t="s">
        <v>60</v>
      </c>
    </row>
    <row r="154" spans="3:13" ht="24" customHeight="1" x14ac:dyDescent="0.25">
      <c r="C154" s="24" t="s">
        <v>176</v>
      </c>
      <c r="D154" s="25">
        <f>D6</f>
        <v>0</v>
      </c>
      <c r="E154" s="26">
        <v>1</v>
      </c>
      <c r="F154" s="26">
        <v>0.06</v>
      </c>
      <c r="G154" s="27">
        <f t="shared" ref="G154:G159" si="16">D154*E154*F154</f>
        <v>0</v>
      </c>
    </row>
    <row r="155" spans="3:13" ht="24" customHeight="1" thickBot="1" x14ac:dyDescent="0.3">
      <c r="C155" s="12" t="s">
        <v>216</v>
      </c>
      <c r="D155" s="36">
        <f>D56</f>
        <v>0</v>
      </c>
      <c r="E155" s="37">
        <v>1</v>
      </c>
      <c r="F155" s="37">
        <v>0.06</v>
      </c>
      <c r="G155" s="13">
        <f t="shared" si="16"/>
        <v>0</v>
      </c>
    </row>
    <row r="156" spans="3:13" ht="24" hidden="1" customHeight="1" x14ac:dyDescent="0.25">
      <c r="C156" s="10" t="s">
        <v>10</v>
      </c>
      <c r="D156" s="59">
        <f>D154</f>
        <v>0</v>
      </c>
      <c r="E156" s="80">
        <v>1</v>
      </c>
      <c r="F156" s="80">
        <v>0.06</v>
      </c>
      <c r="G156" s="11">
        <f t="shared" si="16"/>
        <v>0</v>
      </c>
    </row>
    <row r="157" spans="3:13" ht="24" hidden="1" customHeight="1" x14ac:dyDescent="0.25">
      <c r="C157" s="28" t="s">
        <v>11</v>
      </c>
      <c r="D157" s="29">
        <f>D7</f>
        <v>0</v>
      </c>
      <c r="E157" s="30">
        <v>0.5</v>
      </c>
      <c r="F157" s="30">
        <v>0.06</v>
      </c>
      <c r="G157" s="31">
        <f t="shared" si="16"/>
        <v>0</v>
      </c>
    </row>
    <row r="158" spans="3:13" ht="24" hidden="1" customHeight="1" x14ac:dyDescent="0.25">
      <c r="C158" s="28" t="s">
        <v>12</v>
      </c>
      <c r="D158" s="29">
        <f>D157</f>
        <v>0</v>
      </c>
      <c r="E158" s="30">
        <v>0.5</v>
      </c>
      <c r="F158" s="30">
        <v>0.06</v>
      </c>
      <c r="G158" s="31">
        <f t="shared" si="16"/>
        <v>0</v>
      </c>
    </row>
    <row r="159" spans="3:13" ht="24" hidden="1" customHeight="1" thickBot="1" x14ac:dyDescent="0.3">
      <c r="C159" s="12" t="s">
        <v>13</v>
      </c>
      <c r="D159" s="36">
        <f>D158</f>
        <v>0</v>
      </c>
      <c r="E159" s="37">
        <v>1</v>
      </c>
      <c r="F159" s="37">
        <v>0.06</v>
      </c>
      <c r="G159" s="13">
        <f t="shared" si="16"/>
        <v>0</v>
      </c>
    </row>
    <row r="160" spans="3:13" ht="24" customHeight="1" thickBot="1" x14ac:dyDescent="0.3"/>
    <row r="161" spans="3:11" ht="24" customHeight="1" thickBot="1" x14ac:dyDescent="0.3">
      <c r="C161" s="398" t="s">
        <v>64</v>
      </c>
      <c r="D161" s="410"/>
      <c r="E161" s="410"/>
      <c r="F161" s="399"/>
    </row>
    <row r="162" spans="3:11" ht="24" customHeight="1" thickBot="1" x14ac:dyDescent="0.3">
      <c r="C162" s="51" t="s">
        <v>6</v>
      </c>
      <c r="D162" s="52" t="s">
        <v>56</v>
      </c>
      <c r="E162" s="52" t="s">
        <v>61</v>
      </c>
      <c r="F162" s="53" t="s">
        <v>63</v>
      </c>
    </row>
    <row r="163" spans="3:11" ht="24" customHeight="1" x14ac:dyDescent="0.25">
      <c r="C163" s="24" t="s">
        <v>176</v>
      </c>
      <c r="D163" s="25">
        <f t="shared" ref="D163:D168" si="17">G145</f>
        <v>167.2</v>
      </c>
      <c r="E163" s="25">
        <f t="shared" ref="E163:E168" si="18">G154</f>
        <v>0</v>
      </c>
      <c r="F163" s="27">
        <f t="shared" ref="F163:F168" si="19">D163-E163</f>
        <v>167.2</v>
      </c>
    </row>
    <row r="164" spans="3:11" ht="24" customHeight="1" thickBot="1" x14ac:dyDescent="0.3">
      <c r="C164" s="12" t="s">
        <v>216</v>
      </c>
      <c r="D164" s="36">
        <f t="shared" si="17"/>
        <v>167.2</v>
      </c>
      <c r="E164" s="36">
        <f t="shared" si="18"/>
        <v>0</v>
      </c>
      <c r="F164" s="13">
        <f t="shared" si="19"/>
        <v>167.2</v>
      </c>
    </row>
    <row r="165" spans="3:11" ht="24" hidden="1" customHeight="1" x14ac:dyDescent="0.25">
      <c r="C165" s="10" t="s">
        <v>10</v>
      </c>
      <c r="D165" s="59">
        <f t="shared" si="17"/>
        <v>167.2</v>
      </c>
      <c r="E165" s="59">
        <f t="shared" si="18"/>
        <v>0</v>
      </c>
      <c r="F165" s="11">
        <f t="shared" si="19"/>
        <v>167.2</v>
      </c>
    </row>
    <row r="166" spans="3:11" ht="24" hidden="1" customHeight="1" x14ac:dyDescent="0.25">
      <c r="C166" s="28" t="s">
        <v>11</v>
      </c>
      <c r="D166" s="29">
        <f t="shared" si="17"/>
        <v>114</v>
      </c>
      <c r="E166" s="29">
        <f t="shared" si="18"/>
        <v>0</v>
      </c>
      <c r="F166" s="31">
        <f t="shared" si="19"/>
        <v>114</v>
      </c>
    </row>
    <row r="167" spans="3:11" ht="24" hidden="1" customHeight="1" x14ac:dyDescent="0.25">
      <c r="C167" s="28" t="s">
        <v>12</v>
      </c>
      <c r="D167" s="29">
        <f t="shared" si="17"/>
        <v>114</v>
      </c>
      <c r="E167" s="29">
        <f t="shared" si="18"/>
        <v>0</v>
      </c>
      <c r="F167" s="31">
        <f t="shared" si="19"/>
        <v>114</v>
      </c>
    </row>
    <row r="168" spans="3:11" ht="24" hidden="1" customHeight="1" thickBot="1" x14ac:dyDescent="0.3">
      <c r="C168" s="12" t="s">
        <v>13</v>
      </c>
      <c r="D168" s="36">
        <f t="shared" si="17"/>
        <v>167.2</v>
      </c>
      <c r="E168" s="36">
        <f t="shared" si="18"/>
        <v>0</v>
      </c>
      <c r="F168" s="13">
        <f t="shared" si="19"/>
        <v>167.2</v>
      </c>
    </row>
    <row r="170" spans="3:11" ht="24" customHeight="1" x14ac:dyDescent="0.25">
      <c r="C170" s="363" t="s">
        <v>65</v>
      </c>
      <c r="D170" s="363"/>
      <c r="E170" s="363"/>
      <c r="F170" s="363"/>
      <c r="G170" s="363"/>
      <c r="H170" s="363"/>
      <c r="I170" s="363"/>
      <c r="J170" s="363"/>
    </row>
    <row r="171" spans="3:11" ht="24" customHeight="1" thickBot="1" x14ac:dyDescent="0.3"/>
    <row r="172" spans="3:11" ht="24" customHeight="1" thickBot="1" x14ac:dyDescent="0.3">
      <c r="C172" s="398" t="s">
        <v>65</v>
      </c>
      <c r="D172" s="410"/>
      <c r="E172" s="410"/>
      <c r="F172" s="399"/>
    </row>
    <row r="173" spans="3:11" ht="31.5" customHeight="1" thickBot="1" x14ac:dyDescent="0.3">
      <c r="C173" s="21" t="s">
        <v>6</v>
      </c>
      <c r="D173" s="22" t="s">
        <v>66</v>
      </c>
      <c r="E173" s="42" t="s">
        <v>57</v>
      </c>
      <c r="F173" s="23" t="s">
        <v>14</v>
      </c>
      <c r="H173" s="81"/>
      <c r="I173" s="81"/>
      <c r="J173" s="81"/>
      <c r="K173" s="81"/>
    </row>
    <row r="174" spans="3:11" ht="24" customHeight="1" x14ac:dyDescent="0.25">
      <c r="C174" s="24" t="s">
        <v>176</v>
      </c>
      <c r="D174" s="25">
        <v>15</v>
      </c>
      <c r="E174" s="73">
        <v>22</v>
      </c>
      <c r="F174" s="27">
        <f t="shared" ref="F174:F179" si="20">E174*D174</f>
        <v>330</v>
      </c>
    </row>
    <row r="175" spans="3:11" ht="24" customHeight="1" thickBot="1" x14ac:dyDescent="0.3">
      <c r="C175" s="12" t="s">
        <v>216</v>
      </c>
      <c r="D175" s="36">
        <v>15</v>
      </c>
      <c r="E175" s="75">
        <v>22</v>
      </c>
      <c r="F175" s="13">
        <f t="shared" si="20"/>
        <v>330</v>
      </c>
    </row>
    <row r="176" spans="3:11" ht="24" hidden="1" customHeight="1" x14ac:dyDescent="0.25">
      <c r="C176" s="10" t="s">
        <v>10</v>
      </c>
      <c r="D176" s="59">
        <v>20</v>
      </c>
      <c r="E176" s="77">
        <v>22</v>
      </c>
      <c r="F176" s="11">
        <f t="shared" si="20"/>
        <v>440</v>
      </c>
    </row>
    <row r="177" spans="3:6" ht="24" hidden="1" customHeight="1" x14ac:dyDescent="0.25">
      <c r="C177" s="28" t="s">
        <v>11</v>
      </c>
      <c r="D177" s="29">
        <v>20</v>
      </c>
      <c r="E177" s="79">
        <v>15</v>
      </c>
      <c r="F177" s="31">
        <f t="shared" si="20"/>
        <v>300</v>
      </c>
    </row>
    <row r="178" spans="3:6" ht="24" hidden="1" customHeight="1" x14ac:dyDescent="0.25">
      <c r="C178" s="28" t="s">
        <v>12</v>
      </c>
      <c r="D178" s="29">
        <v>20</v>
      </c>
      <c r="E178" s="79">
        <v>15</v>
      </c>
      <c r="F178" s="31">
        <f t="shared" si="20"/>
        <v>300</v>
      </c>
    </row>
    <row r="179" spans="3:6" ht="24" hidden="1" customHeight="1" thickBot="1" x14ac:dyDescent="0.3">
      <c r="C179" s="12" t="s">
        <v>13</v>
      </c>
      <c r="D179" s="36">
        <v>20</v>
      </c>
      <c r="E179" s="75">
        <v>22</v>
      </c>
      <c r="F179" s="13">
        <f t="shared" si="20"/>
        <v>440</v>
      </c>
    </row>
    <row r="180" spans="3:6" ht="24" customHeight="1" thickBot="1" x14ac:dyDescent="0.3"/>
    <row r="181" spans="3:6" ht="24" customHeight="1" thickBot="1" x14ac:dyDescent="0.3">
      <c r="C181" s="398" t="s">
        <v>67</v>
      </c>
      <c r="D181" s="410"/>
      <c r="E181" s="410"/>
      <c r="F181" s="399"/>
    </row>
    <row r="182" spans="3:6" ht="24" customHeight="1" thickBot="1" x14ac:dyDescent="0.3">
      <c r="C182" s="51" t="s">
        <v>6</v>
      </c>
      <c r="D182" s="52" t="s">
        <v>2</v>
      </c>
      <c r="E182" s="52" t="s">
        <v>3</v>
      </c>
      <c r="F182" s="53" t="s">
        <v>60</v>
      </c>
    </row>
    <row r="183" spans="3:6" ht="24" customHeight="1" x14ac:dyDescent="0.25">
      <c r="C183" s="24" t="s">
        <v>176</v>
      </c>
      <c r="D183" s="25">
        <f t="shared" ref="D183:D188" si="21">F174</f>
        <v>330</v>
      </c>
      <c r="E183" s="26">
        <v>0.1</v>
      </c>
      <c r="F183" s="27">
        <f t="shared" ref="F183:F188" si="22">D183*E183</f>
        <v>33</v>
      </c>
    </row>
    <row r="184" spans="3:6" ht="24" customHeight="1" thickBot="1" x14ac:dyDescent="0.3">
      <c r="C184" s="12" t="s">
        <v>216</v>
      </c>
      <c r="D184" s="36">
        <f t="shared" si="21"/>
        <v>330</v>
      </c>
      <c r="E184" s="37">
        <v>0.1</v>
      </c>
      <c r="F184" s="13">
        <f t="shared" si="22"/>
        <v>33</v>
      </c>
    </row>
    <row r="185" spans="3:6" ht="24" hidden="1" customHeight="1" x14ac:dyDescent="0.25">
      <c r="C185" s="10" t="s">
        <v>10</v>
      </c>
      <c r="D185" s="59">
        <f t="shared" si="21"/>
        <v>440</v>
      </c>
      <c r="E185" s="80">
        <v>0.05</v>
      </c>
      <c r="F185" s="11">
        <f t="shared" si="22"/>
        <v>22</v>
      </c>
    </row>
    <row r="186" spans="3:6" ht="24" hidden="1" customHeight="1" x14ac:dyDescent="0.25">
      <c r="C186" s="28" t="s">
        <v>11</v>
      </c>
      <c r="D186" s="29">
        <f t="shared" si="21"/>
        <v>300</v>
      </c>
      <c r="E186" s="30">
        <v>0.05</v>
      </c>
      <c r="F186" s="31">
        <f t="shared" si="22"/>
        <v>15</v>
      </c>
    </row>
    <row r="187" spans="3:6" ht="24" hidden="1" customHeight="1" x14ac:dyDescent="0.25">
      <c r="C187" s="28" t="s">
        <v>12</v>
      </c>
      <c r="D187" s="29">
        <f t="shared" si="21"/>
        <v>300</v>
      </c>
      <c r="E187" s="30">
        <v>0.05</v>
      </c>
      <c r="F187" s="31">
        <f t="shared" si="22"/>
        <v>15</v>
      </c>
    </row>
    <row r="188" spans="3:6" ht="24" hidden="1" customHeight="1" thickBot="1" x14ac:dyDescent="0.3">
      <c r="C188" s="12" t="s">
        <v>13</v>
      </c>
      <c r="D188" s="36">
        <f t="shared" si="21"/>
        <v>440</v>
      </c>
      <c r="E188" s="37">
        <v>0.05</v>
      </c>
      <c r="F188" s="13">
        <f t="shared" si="22"/>
        <v>22</v>
      </c>
    </row>
    <row r="189" spans="3:6" ht="24" customHeight="1" thickBot="1" x14ac:dyDescent="0.3"/>
    <row r="190" spans="3:6" ht="24" customHeight="1" thickBot="1" x14ac:dyDescent="0.3">
      <c r="C190" s="398" t="s">
        <v>68</v>
      </c>
      <c r="D190" s="410"/>
      <c r="E190" s="410"/>
      <c r="F190" s="399"/>
    </row>
    <row r="191" spans="3:6" ht="24" customHeight="1" thickBot="1" x14ac:dyDescent="0.3">
      <c r="C191" s="51" t="s">
        <v>6</v>
      </c>
      <c r="D191" s="52" t="s">
        <v>56</v>
      </c>
      <c r="E191" s="52" t="s">
        <v>61</v>
      </c>
      <c r="F191" s="53" t="s">
        <v>63</v>
      </c>
    </row>
    <row r="192" spans="3:6" ht="24" customHeight="1" x14ac:dyDescent="0.25">
      <c r="C192" s="24" t="s">
        <v>176</v>
      </c>
      <c r="D192" s="25">
        <f t="shared" ref="D192:D197" si="23">F174</f>
        <v>330</v>
      </c>
      <c r="E192" s="25">
        <f t="shared" ref="E192:E197" si="24">F183</f>
        <v>33</v>
      </c>
      <c r="F192" s="27">
        <f t="shared" ref="F192:F197" si="25">D192-E192</f>
        <v>297</v>
      </c>
    </row>
    <row r="193" spans="3:10" ht="24" customHeight="1" thickBot="1" x14ac:dyDescent="0.3">
      <c r="C193" s="12" t="s">
        <v>216</v>
      </c>
      <c r="D193" s="36">
        <f t="shared" si="23"/>
        <v>330</v>
      </c>
      <c r="E193" s="36">
        <f t="shared" si="24"/>
        <v>33</v>
      </c>
      <c r="F193" s="13">
        <f t="shared" si="25"/>
        <v>297</v>
      </c>
    </row>
    <row r="194" spans="3:10" ht="24" hidden="1" customHeight="1" x14ac:dyDescent="0.25">
      <c r="C194" s="10" t="s">
        <v>10</v>
      </c>
      <c r="D194" s="59">
        <f t="shared" si="23"/>
        <v>440</v>
      </c>
      <c r="E194" s="59">
        <f t="shared" si="24"/>
        <v>22</v>
      </c>
      <c r="F194" s="11">
        <f t="shared" si="25"/>
        <v>418</v>
      </c>
    </row>
    <row r="195" spans="3:10" ht="24" hidden="1" customHeight="1" x14ac:dyDescent="0.25">
      <c r="C195" s="28" t="s">
        <v>11</v>
      </c>
      <c r="D195" s="29">
        <f t="shared" si="23"/>
        <v>300</v>
      </c>
      <c r="E195" s="29">
        <f t="shared" si="24"/>
        <v>15</v>
      </c>
      <c r="F195" s="31">
        <f t="shared" si="25"/>
        <v>285</v>
      </c>
    </row>
    <row r="196" spans="3:10" ht="24" hidden="1" customHeight="1" x14ac:dyDescent="0.25">
      <c r="C196" s="28" t="s">
        <v>12</v>
      </c>
      <c r="D196" s="29">
        <f t="shared" si="23"/>
        <v>300</v>
      </c>
      <c r="E196" s="29">
        <f t="shared" si="24"/>
        <v>15</v>
      </c>
      <c r="F196" s="31">
        <f t="shared" si="25"/>
        <v>285</v>
      </c>
    </row>
    <row r="197" spans="3:10" ht="24" hidden="1" customHeight="1" thickBot="1" x14ac:dyDescent="0.3">
      <c r="C197" s="12" t="s">
        <v>13</v>
      </c>
      <c r="D197" s="36">
        <f t="shared" si="23"/>
        <v>440</v>
      </c>
      <c r="E197" s="36">
        <f t="shared" si="24"/>
        <v>22</v>
      </c>
      <c r="F197" s="13">
        <f t="shared" si="25"/>
        <v>418</v>
      </c>
    </row>
    <row r="199" spans="3:10" ht="24" customHeight="1" x14ac:dyDescent="0.25">
      <c r="C199" s="363" t="s">
        <v>69</v>
      </c>
      <c r="D199" s="363"/>
      <c r="E199" s="363"/>
      <c r="F199" s="363"/>
      <c r="G199" s="363"/>
      <c r="H199" s="363"/>
      <c r="I199" s="363"/>
      <c r="J199" s="363"/>
    </row>
    <row r="200" spans="3:10" ht="24" customHeight="1" thickBot="1" x14ac:dyDescent="0.3"/>
    <row r="201" spans="3:10" ht="24" customHeight="1" thickBot="1" x14ac:dyDescent="0.3">
      <c r="C201" s="398" t="s">
        <v>178</v>
      </c>
      <c r="D201" s="410"/>
      <c r="E201" s="410"/>
      <c r="F201" s="399"/>
    </row>
    <row r="202" spans="3:10" ht="24" customHeight="1" thickBot="1" x14ac:dyDescent="0.3">
      <c r="C202" s="51" t="s">
        <v>6</v>
      </c>
      <c r="D202" s="52" t="s">
        <v>56</v>
      </c>
      <c r="E202" s="52" t="s">
        <v>61</v>
      </c>
      <c r="F202" s="53" t="s">
        <v>63</v>
      </c>
    </row>
    <row r="203" spans="3:10" ht="24" customHeight="1" x14ac:dyDescent="0.25">
      <c r="C203" s="24" t="s">
        <v>176</v>
      </c>
      <c r="D203" s="82">
        <v>100</v>
      </c>
      <c r="E203" s="25">
        <v>0</v>
      </c>
      <c r="F203" s="27">
        <f t="shared" ref="F203:F208" si="26">D203-E203</f>
        <v>100</v>
      </c>
    </row>
    <row r="204" spans="3:10" ht="24" customHeight="1" thickBot="1" x14ac:dyDescent="0.3">
      <c r="C204" s="12" t="s">
        <v>216</v>
      </c>
      <c r="D204" s="83">
        <v>100</v>
      </c>
      <c r="E204" s="36">
        <v>0</v>
      </c>
      <c r="F204" s="13">
        <f t="shared" si="26"/>
        <v>100</v>
      </c>
    </row>
    <row r="205" spans="3:10" ht="24" hidden="1" customHeight="1" x14ac:dyDescent="0.25">
      <c r="C205" s="10" t="s">
        <v>10</v>
      </c>
      <c r="D205" s="69">
        <v>91.81</v>
      </c>
      <c r="E205" s="59">
        <v>1</v>
      </c>
      <c r="F205" s="11">
        <f t="shared" si="26"/>
        <v>90.81</v>
      </c>
    </row>
    <row r="206" spans="3:10" ht="24" hidden="1" customHeight="1" x14ac:dyDescent="0.25">
      <c r="C206" s="28" t="s">
        <v>11</v>
      </c>
      <c r="D206" s="70">
        <v>91.81</v>
      </c>
      <c r="E206" s="29">
        <v>1</v>
      </c>
      <c r="F206" s="31">
        <f t="shared" si="26"/>
        <v>90.81</v>
      </c>
    </row>
    <row r="207" spans="3:10" ht="24" hidden="1" customHeight="1" x14ac:dyDescent="0.25">
      <c r="C207" s="28" t="s">
        <v>12</v>
      </c>
      <c r="D207" s="70">
        <v>91.81</v>
      </c>
      <c r="E207" s="29">
        <v>1</v>
      </c>
      <c r="F207" s="31">
        <f t="shared" si="26"/>
        <v>90.81</v>
      </c>
    </row>
    <row r="208" spans="3:10" ht="24" hidden="1" customHeight="1" thickBot="1" x14ac:dyDescent="0.3">
      <c r="C208" s="12" t="s">
        <v>13</v>
      </c>
      <c r="D208" s="83">
        <v>91.81</v>
      </c>
      <c r="E208" s="36">
        <v>1</v>
      </c>
      <c r="F208" s="13">
        <f t="shared" si="26"/>
        <v>90.81</v>
      </c>
    </row>
    <row r="210" spans="3:10" ht="24" customHeight="1" x14ac:dyDescent="0.25">
      <c r="C210" s="363" t="s">
        <v>70</v>
      </c>
      <c r="D210" s="363"/>
      <c r="E210" s="363"/>
      <c r="F210" s="363"/>
      <c r="G210" s="363"/>
      <c r="H210" s="363"/>
      <c r="I210" s="363"/>
      <c r="J210" s="363"/>
    </row>
    <row r="211" spans="3:10" ht="24" customHeight="1" thickBot="1" x14ac:dyDescent="0.3"/>
    <row r="212" spans="3:10" ht="36" customHeight="1" x14ac:dyDescent="0.25">
      <c r="C212" s="371" t="s">
        <v>271</v>
      </c>
      <c r="D212" s="372"/>
      <c r="E212" s="372"/>
      <c r="F212" s="372"/>
      <c r="G212" s="373"/>
    </row>
    <row r="213" spans="3:10" ht="39.75" customHeight="1" x14ac:dyDescent="0.25">
      <c r="C213" s="90" t="s">
        <v>6</v>
      </c>
      <c r="D213" s="291" t="s">
        <v>270</v>
      </c>
      <c r="E213" s="291" t="s">
        <v>272</v>
      </c>
      <c r="F213" s="291" t="s">
        <v>273</v>
      </c>
      <c r="G213" s="93" t="s">
        <v>63</v>
      </c>
    </row>
    <row r="214" spans="3:10" ht="24" customHeight="1" x14ac:dyDescent="0.25">
      <c r="C214" s="28" t="s">
        <v>176</v>
      </c>
      <c r="D214" s="29">
        <v>10</v>
      </c>
      <c r="E214" s="29">
        <v>15</v>
      </c>
      <c r="F214" s="29">
        <v>10</v>
      </c>
      <c r="G214" s="217">
        <f>SUM(D214:F214)</f>
        <v>35</v>
      </c>
    </row>
    <row r="215" spans="3:10" ht="24" customHeight="1" thickBot="1" x14ac:dyDescent="0.3">
      <c r="C215" s="12" t="s">
        <v>216</v>
      </c>
      <c r="D215" s="36">
        <v>10</v>
      </c>
      <c r="E215" s="36">
        <v>15</v>
      </c>
      <c r="F215" s="36">
        <v>10</v>
      </c>
      <c r="G215" s="292">
        <f>SUM(D215:F215)</f>
        <v>35</v>
      </c>
    </row>
    <row r="216" spans="3:10" ht="24" hidden="1" customHeight="1" thickBot="1" x14ac:dyDescent="0.3">
      <c r="C216" s="84" t="s">
        <v>10</v>
      </c>
      <c r="D216" s="85"/>
      <c r="E216" s="85"/>
      <c r="F216" s="86"/>
    </row>
    <row r="217" spans="3:10" ht="24" hidden="1" customHeight="1" x14ac:dyDescent="0.25">
      <c r="C217" s="24" t="s">
        <v>11</v>
      </c>
      <c r="D217" s="25"/>
      <c r="E217" s="25"/>
      <c r="F217" s="27"/>
    </row>
    <row r="218" spans="3:10" ht="24" hidden="1" customHeight="1" x14ac:dyDescent="0.25">
      <c r="C218" s="28" t="s">
        <v>12</v>
      </c>
      <c r="D218" s="29"/>
      <c r="E218" s="29"/>
      <c r="F218" s="31"/>
    </row>
    <row r="219" spans="3:10" ht="24" hidden="1" customHeight="1" thickBot="1" x14ac:dyDescent="0.3">
      <c r="C219" s="12" t="s">
        <v>13</v>
      </c>
      <c r="D219" s="36"/>
      <c r="E219" s="36"/>
      <c r="F219" s="13"/>
    </row>
    <row r="220" spans="3:10" ht="24" customHeight="1" x14ac:dyDescent="0.25">
      <c r="C220" s="71"/>
      <c r="D220" s="87"/>
      <c r="E220" s="87"/>
      <c r="F220" s="88"/>
    </row>
    <row r="221" spans="3:10" ht="24" customHeight="1" thickBot="1" x14ac:dyDescent="0.3">
      <c r="C221" s="71"/>
      <c r="D221" s="87"/>
      <c r="E221" s="87"/>
      <c r="F221" s="88"/>
    </row>
    <row r="222" spans="3:10" ht="24" customHeight="1" x14ac:dyDescent="0.25">
      <c r="C222" s="380" t="s">
        <v>52</v>
      </c>
      <c r="D222" s="381"/>
      <c r="E222" s="381"/>
      <c r="F222" s="381"/>
      <c r="G222" s="381"/>
      <c r="H222" s="381"/>
      <c r="I222" s="382"/>
      <c r="J222" s="89"/>
    </row>
    <row r="223" spans="3:10" ht="46.5" customHeight="1" x14ac:dyDescent="0.25">
      <c r="C223" s="90" t="s">
        <v>6</v>
      </c>
      <c r="D223" s="91" t="s">
        <v>71</v>
      </c>
      <c r="E223" s="91" t="s">
        <v>72</v>
      </c>
      <c r="F223" s="91" t="s">
        <v>179</v>
      </c>
      <c r="G223" s="374" t="s">
        <v>274</v>
      </c>
      <c r="H223" s="375"/>
      <c r="I223" s="93" t="s">
        <v>29</v>
      </c>
    </row>
    <row r="224" spans="3:10" ht="24" customHeight="1" x14ac:dyDescent="0.25">
      <c r="C224" s="10" t="s">
        <v>176</v>
      </c>
      <c r="D224" s="59">
        <f t="shared" ref="D224:D229" si="27">F163</f>
        <v>167.2</v>
      </c>
      <c r="E224" s="59">
        <f t="shared" ref="E224:E229" si="28">F192</f>
        <v>297</v>
      </c>
      <c r="F224" s="59">
        <f t="shared" ref="F224:F229" si="29">F203</f>
        <v>100</v>
      </c>
      <c r="G224" s="376">
        <f>G214</f>
        <v>35</v>
      </c>
      <c r="H224" s="377"/>
      <c r="I224" s="11">
        <f>SUM(D224:H224)</f>
        <v>599.20000000000005</v>
      </c>
    </row>
    <row r="225" spans="3:10" ht="24" customHeight="1" thickBot="1" x14ac:dyDescent="0.3">
      <c r="C225" s="12" t="s">
        <v>216</v>
      </c>
      <c r="D225" s="36">
        <f t="shared" si="27"/>
        <v>167.2</v>
      </c>
      <c r="E225" s="36">
        <f t="shared" si="28"/>
        <v>297</v>
      </c>
      <c r="F225" s="36">
        <f t="shared" si="29"/>
        <v>100</v>
      </c>
      <c r="G225" s="378">
        <f>G215</f>
        <v>35</v>
      </c>
      <c r="H225" s="379"/>
      <c r="I225" s="13">
        <f>SUM(D225:H225)</f>
        <v>599.20000000000005</v>
      </c>
    </row>
    <row r="226" spans="3:10" ht="24" hidden="1" customHeight="1" x14ac:dyDescent="0.25">
      <c r="C226" s="10" t="s">
        <v>10</v>
      </c>
      <c r="D226" s="59">
        <f t="shared" si="27"/>
        <v>167.2</v>
      </c>
      <c r="E226" s="59">
        <f t="shared" si="28"/>
        <v>418</v>
      </c>
      <c r="F226" s="59">
        <f t="shared" si="29"/>
        <v>90.81</v>
      </c>
      <c r="G226" s="59"/>
      <c r="H226" s="11">
        <f t="shared" ref="H226:H229" si="30">SUM(D226:G226)</f>
        <v>676.01</v>
      </c>
    </row>
    <row r="227" spans="3:10" ht="24" hidden="1" customHeight="1" x14ac:dyDescent="0.25">
      <c r="C227" s="28" t="s">
        <v>11</v>
      </c>
      <c r="D227" s="29">
        <f t="shared" si="27"/>
        <v>114</v>
      </c>
      <c r="E227" s="29">
        <f t="shared" si="28"/>
        <v>285</v>
      </c>
      <c r="F227" s="29">
        <f t="shared" si="29"/>
        <v>90.81</v>
      </c>
      <c r="G227" s="29"/>
      <c r="H227" s="31">
        <f t="shared" si="30"/>
        <v>489.81</v>
      </c>
    </row>
    <row r="228" spans="3:10" ht="24" hidden="1" customHeight="1" x14ac:dyDescent="0.25">
      <c r="C228" s="28" t="s">
        <v>12</v>
      </c>
      <c r="D228" s="29">
        <f t="shared" si="27"/>
        <v>114</v>
      </c>
      <c r="E228" s="29">
        <f t="shared" si="28"/>
        <v>285</v>
      </c>
      <c r="F228" s="29">
        <f t="shared" si="29"/>
        <v>90.81</v>
      </c>
      <c r="G228" s="29"/>
      <c r="H228" s="31">
        <f t="shared" si="30"/>
        <v>489.81</v>
      </c>
    </row>
    <row r="229" spans="3:10" ht="24" hidden="1" customHeight="1" thickBot="1" x14ac:dyDescent="0.3">
      <c r="C229" s="12" t="s">
        <v>13</v>
      </c>
      <c r="D229" s="36">
        <f t="shared" si="27"/>
        <v>167.2</v>
      </c>
      <c r="E229" s="36">
        <f t="shared" si="28"/>
        <v>418</v>
      </c>
      <c r="F229" s="36">
        <f t="shared" si="29"/>
        <v>90.81</v>
      </c>
      <c r="G229" s="36"/>
      <c r="H229" s="13">
        <f t="shared" si="30"/>
        <v>676.01</v>
      </c>
    </row>
    <row r="231" spans="3:10" ht="24" customHeight="1" x14ac:dyDescent="0.25">
      <c r="C231" s="363" t="s">
        <v>153</v>
      </c>
      <c r="D231" s="363"/>
      <c r="E231" s="363"/>
      <c r="F231" s="363"/>
      <c r="G231" s="363"/>
      <c r="H231" s="363"/>
      <c r="I231" s="363"/>
      <c r="J231" s="363"/>
    </row>
    <row r="232" spans="3:10" ht="24" customHeight="1" thickBot="1" x14ac:dyDescent="0.3"/>
    <row r="233" spans="3:10" ht="24" customHeight="1" thickBot="1" x14ac:dyDescent="0.3">
      <c r="C233" s="398" t="s">
        <v>153</v>
      </c>
      <c r="D233" s="410"/>
      <c r="E233" s="410"/>
      <c r="F233" s="410"/>
      <c r="G233" s="399"/>
    </row>
    <row r="234" spans="3:10" ht="24" customHeight="1" thickBot="1" x14ac:dyDescent="0.3">
      <c r="C234" s="51" t="s">
        <v>6</v>
      </c>
      <c r="D234" s="52" t="s">
        <v>85</v>
      </c>
      <c r="E234" s="52" t="s">
        <v>86</v>
      </c>
      <c r="F234" s="52" t="s">
        <v>87</v>
      </c>
      <c r="G234" s="53" t="s">
        <v>29</v>
      </c>
    </row>
    <row r="235" spans="3:10" ht="24" customHeight="1" x14ac:dyDescent="0.25">
      <c r="C235" s="24" t="s">
        <v>176</v>
      </c>
      <c r="D235" s="25">
        <f>G95</f>
        <v>0</v>
      </c>
      <c r="E235" s="25">
        <f t="shared" ref="E235:E240" si="31">F132</f>
        <v>0</v>
      </c>
      <c r="F235" s="25">
        <f>I224</f>
        <v>599.20000000000005</v>
      </c>
      <c r="G235" s="27">
        <f t="shared" ref="G235:G240" si="32">SUM(D235:F235)</f>
        <v>599.20000000000005</v>
      </c>
    </row>
    <row r="236" spans="3:10" ht="24" customHeight="1" thickBot="1" x14ac:dyDescent="0.3">
      <c r="C236" s="12" t="s">
        <v>216</v>
      </c>
      <c r="D236" s="36">
        <f>G96</f>
        <v>0</v>
      </c>
      <c r="E236" s="36">
        <f t="shared" si="31"/>
        <v>0</v>
      </c>
      <c r="F236" s="36">
        <f>I225</f>
        <v>599.20000000000005</v>
      </c>
      <c r="G236" s="13">
        <f t="shared" si="32"/>
        <v>599.20000000000005</v>
      </c>
    </row>
    <row r="237" spans="3:10" ht="24" hidden="1" customHeight="1" x14ac:dyDescent="0.25">
      <c r="C237" s="10" t="s">
        <v>10</v>
      </c>
      <c r="D237" s="59" t="e">
        <f>#REF!</f>
        <v>#REF!</v>
      </c>
      <c r="E237" s="59" t="e">
        <f t="shared" si="31"/>
        <v>#REF!</v>
      </c>
      <c r="F237" s="59">
        <f t="shared" ref="F237:F240" si="33">H226</f>
        <v>676.01</v>
      </c>
      <c r="G237" s="11" t="e">
        <f t="shared" si="32"/>
        <v>#REF!</v>
      </c>
    </row>
    <row r="238" spans="3:10" ht="24" hidden="1" customHeight="1" x14ac:dyDescent="0.25">
      <c r="C238" s="28" t="s">
        <v>11</v>
      </c>
      <c r="D238" s="29" t="e">
        <f>#REF!</f>
        <v>#REF!</v>
      </c>
      <c r="E238" s="29" t="e">
        <f t="shared" si="31"/>
        <v>#REF!</v>
      </c>
      <c r="F238" s="29">
        <f t="shared" si="33"/>
        <v>489.81</v>
      </c>
      <c r="G238" s="31" t="e">
        <f t="shared" si="32"/>
        <v>#REF!</v>
      </c>
    </row>
    <row r="239" spans="3:10" ht="24" hidden="1" customHeight="1" x14ac:dyDescent="0.25">
      <c r="C239" s="28" t="s">
        <v>12</v>
      </c>
      <c r="D239" s="29" t="e">
        <f>#REF!</f>
        <v>#REF!</v>
      </c>
      <c r="E239" s="29" t="e">
        <f t="shared" si="31"/>
        <v>#REF!</v>
      </c>
      <c r="F239" s="29">
        <f t="shared" si="33"/>
        <v>489.81</v>
      </c>
      <c r="G239" s="31" t="e">
        <f t="shared" si="32"/>
        <v>#REF!</v>
      </c>
    </row>
    <row r="240" spans="3:10" ht="24" hidden="1" customHeight="1" thickBot="1" x14ac:dyDescent="0.3">
      <c r="C240" s="12" t="s">
        <v>13</v>
      </c>
      <c r="D240" s="36" t="e">
        <f>#REF!</f>
        <v>#REF!</v>
      </c>
      <c r="E240" s="36" t="e">
        <f t="shared" si="31"/>
        <v>#REF!</v>
      </c>
      <c r="F240" s="36">
        <f t="shared" si="33"/>
        <v>676.01</v>
      </c>
      <c r="G240" s="13" t="e">
        <f t="shared" si="32"/>
        <v>#REF!</v>
      </c>
    </row>
    <row r="241" spans="2:11" ht="24" customHeight="1" thickBot="1" x14ac:dyDescent="0.3"/>
    <row r="242" spans="2:11" ht="24" customHeight="1" thickBot="1" x14ac:dyDescent="0.3">
      <c r="B242" s="383" t="s">
        <v>73</v>
      </c>
      <c r="C242" s="384"/>
      <c r="D242" s="384"/>
      <c r="E242" s="384"/>
      <c r="F242" s="384"/>
      <c r="G242" s="384"/>
      <c r="H242" s="384"/>
      <c r="I242" s="385"/>
      <c r="J242" s="9"/>
    </row>
    <row r="243" spans="2:11" ht="24" customHeight="1" thickBot="1" x14ac:dyDescent="0.3"/>
    <row r="244" spans="2:11" ht="30.75" customHeight="1" thickBot="1" x14ac:dyDescent="0.3">
      <c r="C244" s="428" t="s">
        <v>74</v>
      </c>
      <c r="D244" s="429"/>
    </row>
    <row r="245" spans="2:11" ht="24" customHeight="1" thickBot="1" x14ac:dyDescent="0.3">
      <c r="C245" s="14" t="s">
        <v>75</v>
      </c>
      <c r="D245" s="94" t="s">
        <v>3</v>
      </c>
    </row>
    <row r="246" spans="2:11" ht="30" x14ac:dyDescent="0.25">
      <c r="C246" s="95" t="s">
        <v>76</v>
      </c>
      <c r="D246" s="96">
        <v>0.83850000000000002</v>
      </c>
      <c r="E246" s="412" t="s">
        <v>173</v>
      </c>
      <c r="F246" s="412"/>
    </row>
    <row r="247" spans="2:11" ht="30" x14ac:dyDescent="0.25">
      <c r="C247" s="97" t="s">
        <v>77</v>
      </c>
      <c r="D247" s="98">
        <v>0.41930000000000001</v>
      </c>
      <c r="E247" s="434"/>
      <c r="F247" s="434"/>
    </row>
    <row r="248" spans="2:11" ht="30" x14ac:dyDescent="0.25">
      <c r="C248" s="97" t="s">
        <v>78</v>
      </c>
      <c r="D248" s="98">
        <v>0.41930000000000001</v>
      </c>
      <c r="E248" s="434"/>
      <c r="F248" s="434"/>
    </row>
    <row r="249" spans="2:11" ht="30" x14ac:dyDescent="0.25">
      <c r="C249" s="97" t="s">
        <v>79</v>
      </c>
      <c r="D249" s="98">
        <v>1.737E-2</v>
      </c>
      <c r="E249" s="412" t="s">
        <v>173</v>
      </c>
      <c r="F249" s="412"/>
    </row>
    <row r="250" spans="2:11" ht="30.75" thickBot="1" x14ac:dyDescent="0.3">
      <c r="C250" s="99" t="s">
        <v>80</v>
      </c>
      <c r="D250" s="100">
        <v>0.14407</v>
      </c>
      <c r="E250" s="412" t="s">
        <v>173</v>
      </c>
      <c r="F250" s="412"/>
    </row>
    <row r="251" spans="2:11" ht="24" customHeight="1" thickBot="1" x14ac:dyDescent="0.3">
      <c r="C251" s="14" t="s">
        <v>48</v>
      </c>
      <c r="D251" s="101">
        <f>SUM(D247:D250)</f>
        <v>1.00004</v>
      </c>
    </row>
    <row r="253" spans="2:11" ht="24" customHeight="1" x14ac:dyDescent="0.25">
      <c r="C253" s="363" t="s">
        <v>81</v>
      </c>
      <c r="D253" s="363"/>
      <c r="E253" s="363"/>
      <c r="F253" s="363"/>
      <c r="G253" s="363"/>
      <c r="H253" s="363"/>
      <c r="I253" s="363"/>
      <c r="J253" s="363"/>
    </row>
    <row r="254" spans="2:11" ht="24" customHeight="1" thickBot="1" x14ac:dyDescent="0.3"/>
    <row r="255" spans="2:11" ht="24" customHeight="1" thickBot="1" x14ac:dyDescent="0.3">
      <c r="C255" s="398" t="s">
        <v>83</v>
      </c>
      <c r="D255" s="410"/>
      <c r="E255" s="410"/>
      <c r="F255" s="399"/>
      <c r="G255" s="71"/>
      <c r="H255" s="71"/>
      <c r="I255" s="71"/>
      <c r="J255" s="71"/>
      <c r="K255" s="71"/>
    </row>
    <row r="256" spans="2:11" ht="24" customHeight="1" thickBot="1" x14ac:dyDescent="0.3">
      <c r="C256" s="51" t="s">
        <v>6</v>
      </c>
      <c r="D256" s="52" t="s">
        <v>2</v>
      </c>
      <c r="E256" s="52" t="s">
        <v>82</v>
      </c>
      <c r="F256" s="53" t="s">
        <v>14</v>
      </c>
      <c r="G256" s="393"/>
      <c r="H256" s="393"/>
      <c r="I256" s="393"/>
      <c r="J256" s="393"/>
      <c r="K256" s="71"/>
    </row>
    <row r="257" spans="3:11" ht="24" customHeight="1" x14ac:dyDescent="0.25">
      <c r="C257" s="24" t="s">
        <v>176</v>
      </c>
      <c r="D257" s="102">
        <f t="shared" ref="D257:D262" si="34">I55+(G235-F114)</f>
        <v>599.20000000000005</v>
      </c>
      <c r="E257" s="103">
        <v>12</v>
      </c>
      <c r="F257" s="104">
        <f t="shared" ref="F257:F262" si="35">D257/E257</f>
        <v>49.933333333333337</v>
      </c>
      <c r="G257" s="71"/>
      <c r="H257" s="71"/>
      <c r="I257" s="71"/>
      <c r="J257" s="71"/>
      <c r="K257" s="71"/>
    </row>
    <row r="258" spans="3:11" ht="24" customHeight="1" thickBot="1" x14ac:dyDescent="0.3">
      <c r="C258" s="12" t="s">
        <v>216</v>
      </c>
      <c r="D258" s="105">
        <f t="shared" si="34"/>
        <v>599.20000000000005</v>
      </c>
      <c r="E258" s="106">
        <v>12</v>
      </c>
      <c r="F258" s="107">
        <f t="shared" si="35"/>
        <v>49.933333333333337</v>
      </c>
      <c r="G258" s="71"/>
      <c r="H258" s="71"/>
      <c r="I258" s="71"/>
      <c r="J258" s="71"/>
      <c r="K258" s="71"/>
    </row>
    <row r="259" spans="3:11" ht="24" hidden="1" customHeight="1" x14ac:dyDescent="0.25">
      <c r="C259" s="108" t="s">
        <v>10</v>
      </c>
      <c r="D259" s="109" t="e">
        <f t="shared" si="34"/>
        <v>#REF!</v>
      </c>
      <c r="E259" s="108">
        <v>12</v>
      </c>
      <c r="F259" s="110" t="e">
        <f t="shared" si="35"/>
        <v>#REF!</v>
      </c>
      <c r="G259" s="71"/>
      <c r="H259" s="71"/>
      <c r="I259" s="71"/>
      <c r="J259" s="71"/>
      <c r="K259" s="71"/>
    </row>
    <row r="260" spans="3:11" ht="24" hidden="1" customHeight="1" x14ac:dyDescent="0.25">
      <c r="C260" s="111" t="s">
        <v>11</v>
      </c>
      <c r="D260" s="112" t="e">
        <f t="shared" si="34"/>
        <v>#REF!</v>
      </c>
      <c r="E260" s="111">
        <v>12</v>
      </c>
      <c r="F260" s="113" t="e">
        <f t="shared" si="35"/>
        <v>#REF!</v>
      </c>
      <c r="G260" s="71"/>
      <c r="H260" s="71"/>
      <c r="I260" s="71"/>
      <c r="J260" s="71"/>
      <c r="K260" s="71"/>
    </row>
    <row r="261" spans="3:11" ht="24" hidden="1" customHeight="1" x14ac:dyDescent="0.25">
      <c r="C261" s="111" t="s">
        <v>12</v>
      </c>
      <c r="D261" s="112" t="e">
        <f t="shared" si="34"/>
        <v>#REF!</v>
      </c>
      <c r="E261" s="111">
        <v>12</v>
      </c>
      <c r="F261" s="113" t="e">
        <f t="shared" si="35"/>
        <v>#REF!</v>
      </c>
      <c r="G261" s="71"/>
      <c r="H261" s="71"/>
      <c r="I261" s="71"/>
      <c r="J261" s="71"/>
      <c r="K261" s="71"/>
    </row>
    <row r="262" spans="3:11" ht="24" hidden="1" customHeight="1" x14ac:dyDescent="0.25">
      <c r="C262" s="111" t="s">
        <v>13</v>
      </c>
      <c r="D262" s="112" t="e">
        <f t="shared" si="34"/>
        <v>#REF!</v>
      </c>
      <c r="E262" s="111">
        <v>12</v>
      </c>
      <c r="F262" s="113" t="e">
        <f t="shared" si="35"/>
        <v>#REF!</v>
      </c>
      <c r="G262" s="71"/>
      <c r="H262" s="71"/>
      <c r="I262" s="71"/>
      <c r="J262" s="71"/>
      <c r="K262" s="71"/>
    </row>
    <row r="263" spans="3:11" ht="24" customHeight="1" thickBot="1" x14ac:dyDescent="0.3">
      <c r="G263" s="71"/>
      <c r="H263" s="71"/>
      <c r="I263" s="71"/>
      <c r="J263" s="71"/>
      <c r="K263" s="71"/>
    </row>
    <row r="264" spans="3:11" ht="33" customHeight="1" thickBot="1" x14ac:dyDescent="0.3">
      <c r="C264" s="420" t="s">
        <v>88</v>
      </c>
      <c r="D264" s="421"/>
      <c r="E264" s="421"/>
      <c r="F264" s="422"/>
      <c r="G264" s="114"/>
      <c r="H264" s="71"/>
      <c r="I264" s="71"/>
      <c r="J264" s="71"/>
      <c r="K264" s="71"/>
    </row>
    <row r="265" spans="3:11" ht="32.25" thickBot="1" x14ac:dyDescent="0.3">
      <c r="C265" s="51" t="s">
        <v>6</v>
      </c>
      <c r="D265" s="52" t="s">
        <v>2</v>
      </c>
      <c r="E265" s="115" t="s">
        <v>89</v>
      </c>
      <c r="F265" s="53" t="s">
        <v>14</v>
      </c>
      <c r="G265" s="71"/>
      <c r="H265" s="71"/>
      <c r="I265" s="71"/>
      <c r="J265" s="71"/>
      <c r="K265" s="71"/>
    </row>
    <row r="266" spans="3:11" ht="24" customHeight="1" x14ac:dyDescent="0.25">
      <c r="C266" s="24" t="s">
        <v>176</v>
      </c>
      <c r="D266" s="25">
        <f t="shared" ref="D266:D271" si="36">F123</f>
        <v>0</v>
      </c>
      <c r="E266" s="26">
        <v>0.5</v>
      </c>
      <c r="F266" s="27">
        <f t="shared" ref="F266:F271" si="37">D266*E266</f>
        <v>0</v>
      </c>
      <c r="G266" s="412"/>
      <c r="H266" s="412"/>
      <c r="I266" s="412"/>
      <c r="J266" s="412"/>
      <c r="K266" s="412"/>
    </row>
    <row r="267" spans="3:11" ht="24" customHeight="1" thickBot="1" x14ac:dyDescent="0.3">
      <c r="C267" s="12" t="s">
        <v>216</v>
      </c>
      <c r="D267" s="36">
        <f t="shared" si="36"/>
        <v>0</v>
      </c>
      <c r="E267" s="37">
        <v>0.5</v>
      </c>
      <c r="F267" s="13">
        <f t="shared" si="37"/>
        <v>0</v>
      </c>
      <c r="G267" s="412"/>
      <c r="H267" s="412"/>
      <c r="I267" s="412"/>
      <c r="J267" s="412"/>
      <c r="K267" s="412"/>
    </row>
    <row r="268" spans="3:11" ht="24" hidden="1" customHeight="1" x14ac:dyDescent="0.25">
      <c r="C268" s="68" t="s">
        <v>10</v>
      </c>
      <c r="D268" s="59" t="e">
        <f t="shared" si="36"/>
        <v>#REF!</v>
      </c>
      <c r="E268" s="80">
        <v>0.5</v>
      </c>
      <c r="F268" s="116" t="e">
        <f t="shared" si="37"/>
        <v>#REF!</v>
      </c>
      <c r="G268" s="71"/>
      <c r="H268" s="71"/>
      <c r="I268" s="71"/>
      <c r="J268" s="71"/>
      <c r="K268" s="71"/>
    </row>
    <row r="269" spans="3:11" ht="24" hidden="1" customHeight="1" x14ac:dyDescent="0.25">
      <c r="C269" s="45" t="s">
        <v>11</v>
      </c>
      <c r="D269" s="29" t="e">
        <f t="shared" si="36"/>
        <v>#REF!</v>
      </c>
      <c r="E269" s="30">
        <v>0.5</v>
      </c>
      <c r="F269" s="117" t="e">
        <f t="shared" si="37"/>
        <v>#REF!</v>
      </c>
      <c r="G269" s="71"/>
      <c r="H269" s="71"/>
      <c r="I269" s="71"/>
      <c r="J269" s="71"/>
      <c r="K269" s="71"/>
    </row>
    <row r="270" spans="3:11" ht="24" hidden="1" customHeight="1" x14ac:dyDescent="0.25">
      <c r="C270" s="45" t="s">
        <v>12</v>
      </c>
      <c r="D270" s="29" t="e">
        <f t="shared" si="36"/>
        <v>#REF!</v>
      </c>
      <c r="E270" s="30">
        <v>0.5</v>
      </c>
      <c r="F270" s="117" t="e">
        <f t="shared" si="37"/>
        <v>#REF!</v>
      </c>
      <c r="G270" s="71"/>
      <c r="H270" s="71"/>
      <c r="I270" s="71"/>
      <c r="J270" s="71"/>
      <c r="K270" s="71"/>
    </row>
    <row r="271" spans="3:11" ht="24" hidden="1" customHeight="1" x14ac:dyDescent="0.25">
      <c r="C271" s="45" t="s">
        <v>13</v>
      </c>
      <c r="D271" s="29" t="e">
        <f t="shared" si="36"/>
        <v>#REF!</v>
      </c>
      <c r="E271" s="30">
        <v>0.5</v>
      </c>
      <c r="F271" s="117" t="e">
        <f t="shared" si="37"/>
        <v>#REF!</v>
      </c>
      <c r="G271" s="71"/>
      <c r="H271" s="71"/>
      <c r="I271" s="71"/>
      <c r="J271" s="71"/>
      <c r="K271" s="71"/>
    </row>
    <row r="272" spans="3:11" ht="24" customHeight="1" thickBot="1" x14ac:dyDescent="0.3">
      <c r="G272" s="71"/>
      <c r="H272" s="71"/>
      <c r="I272" s="71"/>
      <c r="J272" s="71"/>
      <c r="K272" s="71"/>
    </row>
    <row r="273" spans="3:10" ht="24" customHeight="1" thickBot="1" x14ac:dyDescent="0.3">
      <c r="C273" s="398" t="s">
        <v>90</v>
      </c>
      <c r="D273" s="410"/>
      <c r="E273" s="410"/>
      <c r="F273" s="399"/>
    </row>
    <row r="274" spans="3:10" ht="24" customHeight="1" thickBot="1" x14ac:dyDescent="0.3">
      <c r="C274" s="21" t="s">
        <v>6</v>
      </c>
      <c r="D274" s="22" t="s">
        <v>2</v>
      </c>
      <c r="E274" s="22" t="s">
        <v>3</v>
      </c>
      <c r="F274" s="23" t="s">
        <v>14</v>
      </c>
    </row>
    <row r="275" spans="3:10" ht="24" customHeight="1" x14ac:dyDescent="0.25">
      <c r="C275" s="24" t="s">
        <v>176</v>
      </c>
      <c r="D275" s="25">
        <f t="shared" ref="D275:D280" si="38">F266+F257</f>
        <v>49.933333333333337</v>
      </c>
      <c r="E275" s="54">
        <f t="shared" ref="E275:E280" si="39">$D$247</f>
        <v>0.41930000000000001</v>
      </c>
      <c r="F275" s="27">
        <f t="shared" ref="F275:F280" si="40">E275*D275</f>
        <v>20.937046666666667</v>
      </c>
    </row>
    <row r="276" spans="3:10" ht="24" customHeight="1" thickBot="1" x14ac:dyDescent="0.3">
      <c r="C276" s="12" t="s">
        <v>216</v>
      </c>
      <c r="D276" s="36">
        <f t="shared" si="38"/>
        <v>49.933333333333337</v>
      </c>
      <c r="E276" s="55">
        <f t="shared" si="39"/>
        <v>0.41930000000000001</v>
      </c>
      <c r="F276" s="13">
        <f t="shared" si="40"/>
        <v>20.937046666666667</v>
      </c>
    </row>
    <row r="277" spans="3:10" ht="24" hidden="1" customHeight="1" x14ac:dyDescent="0.25">
      <c r="C277" s="10" t="s">
        <v>10</v>
      </c>
      <c r="D277" s="59" t="e">
        <f t="shared" si="38"/>
        <v>#REF!</v>
      </c>
      <c r="E277" s="61">
        <f t="shared" si="39"/>
        <v>0.41930000000000001</v>
      </c>
      <c r="F277" s="11" t="e">
        <f t="shared" si="40"/>
        <v>#REF!</v>
      </c>
    </row>
    <row r="278" spans="3:10" ht="24" hidden="1" customHeight="1" x14ac:dyDescent="0.25">
      <c r="C278" s="28" t="s">
        <v>11</v>
      </c>
      <c r="D278" s="29" t="e">
        <f t="shared" si="38"/>
        <v>#REF!</v>
      </c>
      <c r="E278" s="57">
        <f t="shared" si="39"/>
        <v>0.41930000000000001</v>
      </c>
      <c r="F278" s="31" t="e">
        <f t="shared" si="40"/>
        <v>#REF!</v>
      </c>
    </row>
    <row r="279" spans="3:10" ht="24" hidden="1" customHeight="1" x14ac:dyDescent="0.25">
      <c r="C279" s="28" t="s">
        <v>12</v>
      </c>
      <c r="D279" s="29" t="e">
        <f t="shared" si="38"/>
        <v>#REF!</v>
      </c>
      <c r="E279" s="57">
        <f t="shared" si="39"/>
        <v>0.41930000000000001</v>
      </c>
      <c r="F279" s="31" t="e">
        <f t="shared" si="40"/>
        <v>#REF!</v>
      </c>
    </row>
    <row r="280" spans="3:10" ht="24" hidden="1" customHeight="1" thickBot="1" x14ac:dyDescent="0.3">
      <c r="C280" s="12" t="s">
        <v>13</v>
      </c>
      <c r="D280" s="36" t="e">
        <f t="shared" si="38"/>
        <v>#REF!</v>
      </c>
      <c r="E280" s="55">
        <f t="shared" si="39"/>
        <v>0.41930000000000001</v>
      </c>
      <c r="F280" s="13" t="e">
        <f t="shared" si="40"/>
        <v>#REF!</v>
      </c>
    </row>
    <row r="282" spans="3:10" ht="24" customHeight="1" x14ac:dyDescent="0.25">
      <c r="C282" s="363" t="s">
        <v>91</v>
      </c>
      <c r="D282" s="363"/>
      <c r="E282" s="363"/>
      <c r="F282" s="363"/>
      <c r="G282" s="363"/>
      <c r="H282" s="363"/>
      <c r="I282" s="363"/>
      <c r="J282" s="363"/>
    </row>
    <row r="283" spans="3:10" ht="24" customHeight="1" thickBot="1" x14ac:dyDescent="0.3"/>
    <row r="284" spans="3:10" ht="24" customHeight="1" thickBot="1" x14ac:dyDescent="0.3">
      <c r="C284" s="398" t="s">
        <v>92</v>
      </c>
      <c r="D284" s="410"/>
      <c r="E284" s="410"/>
      <c r="F284" s="399"/>
    </row>
    <row r="285" spans="3:10" ht="24" customHeight="1" thickBot="1" x14ac:dyDescent="0.3">
      <c r="C285" s="21" t="s">
        <v>6</v>
      </c>
      <c r="D285" s="22" t="s">
        <v>2</v>
      </c>
      <c r="E285" s="22" t="s">
        <v>82</v>
      </c>
      <c r="F285" s="23" t="s">
        <v>14</v>
      </c>
    </row>
    <row r="286" spans="3:10" ht="24" customHeight="1" x14ac:dyDescent="0.25">
      <c r="C286" s="24" t="s">
        <v>176</v>
      </c>
      <c r="D286" s="25">
        <f t="shared" ref="D286:D291" si="41">I55+G235</f>
        <v>599.20000000000005</v>
      </c>
      <c r="E286" s="43">
        <v>12</v>
      </c>
      <c r="F286" s="27">
        <f t="shared" ref="F286:F291" si="42">D286/12</f>
        <v>49.933333333333337</v>
      </c>
    </row>
    <row r="287" spans="3:10" ht="24" customHeight="1" thickBot="1" x14ac:dyDescent="0.3">
      <c r="C287" s="12" t="s">
        <v>216</v>
      </c>
      <c r="D287" s="36">
        <f t="shared" si="41"/>
        <v>599.20000000000005</v>
      </c>
      <c r="E287" s="47">
        <v>12</v>
      </c>
      <c r="F287" s="13">
        <f t="shared" si="42"/>
        <v>49.933333333333337</v>
      </c>
    </row>
    <row r="288" spans="3:10" ht="24" hidden="1" customHeight="1" x14ac:dyDescent="0.25">
      <c r="C288" s="10" t="s">
        <v>10</v>
      </c>
      <c r="D288" s="59" t="e">
        <f t="shared" si="41"/>
        <v>#REF!</v>
      </c>
      <c r="E288" s="68">
        <v>12</v>
      </c>
      <c r="F288" s="11" t="e">
        <f t="shared" si="42"/>
        <v>#REF!</v>
      </c>
    </row>
    <row r="289" spans="3:9" ht="24" hidden="1" customHeight="1" x14ac:dyDescent="0.25">
      <c r="C289" s="28" t="s">
        <v>11</v>
      </c>
      <c r="D289" s="29" t="e">
        <f t="shared" si="41"/>
        <v>#REF!</v>
      </c>
      <c r="E289" s="45">
        <v>12</v>
      </c>
      <c r="F289" s="31" t="e">
        <f t="shared" si="42"/>
        <v>#REF!</v>
      </c>
    </row>
    <row r="290" spans="3:9" ht="24" hidden="1" customHeight="1" x14ac:dyDescent="0.25">
      <c r="C290" s="28" t="s">
        <v>12</v>
      </c>
      <c r="D290" s="29" t="e">
        <f t="shared" si="41"/>
        <v>#REF!</v>
      </c>
      <c r="E290" s="45">
        <v>12</v>
      </c>
      <c r="F290" s="31" t="e">
        <f t="shared" si="42"/>
        <v>#REF!</v>
      </c>
    </row>
    <row r="291" spans="3:9" ht="24" hidden="1" customHeight="1" thickBot="1" x14ac:dyDescent="0.3">
      <c r="C291" s="12" t="s">
        <v>13</v>
      </c>
      <c r="D291" s="36" t="e">
        <f t="shared" si="41"/>
        <v>#REF!</v>
      </c>
      <c r="E291" s="47">
        <v>12</v>
      </c>
      <c r="F291" s="13" t="e">
        <f t="shared" si="42"/>
        <v>#REF!</v>
      </c>
    </row>
    <row r="292" spans="3:9" ht="24" customHeight="1" thickBot="1" x14ac:dyDescent="0.3"/>
    <row r="293" spans="3:9" ht="36.75" customHeight="1" thickBot="1" x14ac:dyDescent="0.3">
      <c r="C293" s="420" t="s">
        <v>93</v>
      </c>
      <c r="D293" s="421"/>
      <c r="E293" s="421"/>
      <c r="F293" s="422"/>
      <c r="G293" s="435" t="s">
        <v>269</v>
      </c>
      <c r="H293" s="435"/>
      <c r="I293" s="435"/>
    </row>
    <row r="294" spans="3:9" ht="32.25" thickBot="1" x14ac:dyDescent="0.3">
      <c r="C294" s="51" t="s">
        <v>6</v>
      </c>
      <c r="D294" s="52" t="s">
        <v>2</v>
      </c>
      <c r="E294" s="115" t="s">
        <v>89</v>
      </c>
      <c r="F294" s="53" t="s">
        <v>14</v>
      </c>
      <c r="G294" s="435"/>
      <c r="H294" s="435"/>
      <c r="I294" s="435"/>
    </row>
    <row r="295" spans="3:9" ht="24" customHeight="1" x14ac:dyDescent="0.25">
      <c r="C295" s="24" t="s">
        <v>176</v>
      </c>
      <c r="D295" s="25">
        <f t="shared" ref="D295:D300" si="43">F123</f>
        <v>0</v>
      </c>
      <c r="E295" s="38">
        <v>0.5</v>
      </c>
      <c r="F295" s="27">
        <f t="shared" ref="F295:F300" si="44">D295*E295</f>
        <v>0</v>
      </c>
      <c r="G295" s="435"/>
      <c r="H295" s="435"/>
      <c r="I295" s="435"/>
    </row>
    <row r="296" spans="3:9" ht="24" customHeight="1" thickBot="1" x14ac:dyDescent="0.3">
      <c r="C296" s="12" t="s">
        <v>216</v>
      </c>
      <c r="D296" s="36">
        <f t="shared" si="43"/>
        <v>0</v>
      </c>
      <c r="E296" s="39">
        <v>0.5</v>
      </c>
      <c r="F296" s="13">
        <f t="shared" si="44"/>
        <v>0</v>
      </c>
      <c r="G296" s="435"/>
      <c r="H296" s="435"/>
      <c r="I296" s="435"/>
    </row>
    <row r="297" spans="3:9" ht="24" hidden="1" customHeight="1" x14ac:dyDescent="0.25">
      <c r="C297" s="10" t="s">
        <v>10</v>
      </c>
      <c r="D297" s="59" t="e">
        <f t="shared" si="43"/>
        <v>#REF!</v>
      </c>
      <c r="E297" s="60">
        <v>0.5</v>
      </c>
      <c r="F297" s="11" t="e">
        <f t="shared" si="44"/>
        <v>#REF!</v>
      </c>
      <c r="G297" s="435"/>
      <c r="H297" s="435"/>
      <c r="I297" s="435"/>
    </row>
    <row r="298" spans="3:9" ht="24" hidden="1" customHeight="1" x14ac:dyDescent="0.25">
      <c r="C298" s="28" t="s">
        <v>11</v>
      </c>
      <c r="D298" s="29" t="e">
        <f t="shared" si="43"/>
        <v>#REF!</v>
      </c>
      <c r="E298" s="62">
        <v>0.5</v>
      </c>
      <c r="F298" s="31" t="e">
        <f t="shared" si="44"/>
        <v>#REF!</v>
      </c>
      <c r="G298" s="435"/>
      <c r="H298" s="435"/>
      <c r="I298" s="435"/>
    </row>
    <row r="299" spans="3:9" ht="24" hidden="1" customHeight="1" x14ac:dyDescent="0.25">
      <c r="C299" s="28" t="s">
        <v>12</v>
      </c>
      <c r="D299" s="29" t="e">
        <f t="shared" si="43"/>
        <v>#REF!</v>
      </c>
      <c r="E299" s="62">
        <v>0.5</v>
      </c>
      <c r="F299" s="31" t="e">
        <f t="shared" si="44"/>
        <v>#REF!</v>
      </c>
      <c r="G299" s="435"/>
      <c r="H299" s="435"/>
      <c r="I299" s="435"/>
    </row>
    <row r="300" spans="3:9" ht="24" hidden="1" customHeight="1" thickBot="1" x14ac:dyDescent="0.3">
      <c r="C300" s="12" t="s">
        <v>13</v>
      </c>
      <c r="D300" s="36" t="e">
        <f t="shared" si="43"/>
        <v>#REF!</v>
      </c>
      <c r="E300" s="39">
        <v>0.5</v>
      </c>
      <c r="F300" s="13" t="e">
        <f t="shared" si="44"/>
        <v>#REF!</v>
      </c>
      <c r="G300" s="435"/>
      <c r="H300" s="435"/>
      <c r="I300" s="435"/>
    </row>
    <row r="301" spans="3:9" ht="24" customHeight="1" thickBot="1" x14ac:dyDescent="0.3">
      <c r="G301" s="435"/>
      <c r="H301" s="435"/>
      <c r="I301" s="435"/>
    </row>
    <row r="302" spans="3:9" ht="24" customHeight="1" thickBot="1" x14ac:dyDescent="0.3">
      <c r="C302" s="398" t="s">
        <v>103</v>
      </c>
      <c r="D302" s="410"/>
      <c r="E302" s="410"/>
      <c r="F302" s="399"/>
      <c r="G302" s="435"/>
      <c r="H302" s="435"/>
      <c r="I302" s="435"/>
    </row>
    <row r="303" spans="3:9" ht="24" customHeight="1" thickBot="1" x14ac:dyDescent="0.3">
      <c r="C303" s="51" t="s">
        <v>6</v>
      </c>
      <c r="D303" s="52" t="s">
        <v>2</v>
      </c>
      <c r="E303" s="52" t="s">
        <v>3</v>
      </c>
      <c r="F303" s="53" t="s">
        <v>14</v>
      </c>
      <c r="G303" s="435"/>
      <c r="H303" s="435"/>
      <c r="I303" s="435"/>
    </row>
    <row r="304" spans="3:9" ht="24" customHeight="1" x14ac:dyDescent="0.25">
      <c r="C304" s="24" t="s">
        <v>176</v>
      </c>
      <c r="D304" s="25">
        <f t="shared" ref="D304:D309" si="45">F295+F286</f>
        <v>49.933333333333337</v>
      </c>
      <c r="E304" s="38">
        <v>0.41930000000000001</v>
      </c>
      <c r="F304" s="27">
        <f t="shared" ref="F304:F309" si="46">D304*E304</f>
        <v>20.937046666666667</v>
      </c>
      <c r="G304" s="435"/>
      <c r="H304" s="435"/>
      <c r="I304" s="435"/>
    </row>
    <row r="305" spans="3:10" ht="24" customHeight="1" thickBot="1" x14ac:dyDescent="0.3">
      <c r="C305" s="12" t="s">
        <v>216</v>
      </c>
      <c r="D305" s="36">
        <f t="shared" si="45"/>
        <v>49.933333333333337</v>
      </c>
      <c r="E305" s="39">
        <v>0.41930000000000001</v>
      </c>
      <c r="F305" s="13">
        <f t="shared" si="46"/>
        <v>20.937046666666667</v>
      </c>
      <c r="G305" s="435"/>
      <c r="H305" s="435"/>
      <c r="I305" s="435"/>
    </row>
    <row r="306" spans="3:10" ht="24" hidden="1" customHeight="1" x14ac:dyDescent="0.25">
      <c r="C306" s="10" t="s">
        <v>10</v>
      </c>
      <c r="D306" s="59" t="e">
        <f t="shared" si="45"/>
        <v>#REF!</v>
      </c>
      <c r="E306" s="60">
        <v>8.2000000000000003E-2</v>
      </c>
      <c r="F306" s="11" t="e">
        <f t="shared" si="46"/>
        <v>#REF!</v>
      </c>
    </row>
    <row r="307" spans="3:10" ht="24" hidden="1" customHeight="1" x14ac:dyDescent="0.25">
      <c r="C307" s="28" t="s">
        <v>11</v>
      </c>
      <c r="D307" s="29" t="e">
        <f t="shared" si="45"/>
        <v>#REF!</v>
      </c>
      <c r="E307" s="62">
        <v>8.2000000000000003E-2</v>
      </c>
      <c r="F307" s="31" t="e">
        <f t="shared" si="46"/>
        <v>#REF!</v>
      </c>
    </row>
    <row r="308" spans="3:10" ht="24" hidden="1" customHeight="1" x14ac:dyDescent="0.25">
      <c r="C308" s="28" t="s">
        <v>12</v>
      </c>
      <c r="D308" s="29" t="e">
        <f t="shared" si="45"/>
        <v>#REF!</v>
      </c>
      <c r="E308" s="62">
        <v>8.2000000000000003E-2</v>
      </c>
      <c r="F308" s="31" t="e">
        <f t="shared" si="46"/>
        <v>#REF!</v>
      </c>
    </row>
    <row r="309" spans="3:10" ht="24" hidden="1" customHeight="1" thickBot="1" x14ac:dyDescent="0.3">
      <c r="C309" s="12" t="s">
        <v>13</v>
      </c>
      <c r="D309" s="36" t="e">
        <f t="shared" si="45"/>
        <v>#REF!</v>
      </c>
      <c r="E309" s="39">
        <v>8.2000000000000003E-2</v>
      </c>
      <c r="F309" s="13" t="e">
        <f t="shared" si="46"/>
        <v>#REF!</v>
      </c>
    </row>
    <row r="311" spans="3:10" ht="24" customHeight="1" x14ac:dyDescent="0.25">
      <c r="C311" s="363" t="s">
        <v>94</v>
      </c>
      <c r="D311" s="363"/>
      <c r="E311" s="363"/>
      <c r="F311" s="363"/>
      <c r="G311" s="363"/>
      <c r="H311" s="363"/>
      <c r="I311" s="363"/>
      <c r="J311" s="363"/>
    </row>
    <row r="312" spans="3:10" ht="24" customHeight="1" thickBot="1" x14ac:dyDescent="0.3"/>
    <row r="313" spans="3:10" ht="24" customHeight="1" thickBot="1" x14ac:dyDescent="0.3">
      <c r="C313" s="398" t="s">
        <v>98</v>
      </c>
      <c r="D313" s="410"/>
      <c r="E313" s="410"/>
      <c r="F313" s="410"/>
      <c r="G313" s="399"/>
    </row>
    <row r="314" spans="3:10" ht="57" customHeight="1" thickBot="1" x14ac:dyDescent="0.3">
      <c r="C314" s="51" t="s">
        <v>6</v>
      </c>
      <c r="D314" s="58" t="s">
        <v>95</v>
      </c>
      <c r="E314" s="58" t="s">
        <v>96</v>
      </c>
      <c r="F314" s="58" t="s">
        <v>97</v>
      </c>
      <c r="G314" s="53" t="s">
        <v>14</v>
      </c>
    </row>
    <row r="315" spans="3:10" ht="24" customHeight="1" x14ac:dyDescent="0.25">
      <c r="C315" s="24" t="s">
        <v>176</v>
      </c>
      <c r="D315" s="118">
        <f t="shared" ref="D315:D320" si="47">-F86</f>
        <v>0</v>
      </c>
      <c r="E315" s="118">
        <f t="shared" ref="E315:E320" si="48">-G77</f>
        <v>0</v>
      </c>
      <c r="F315" s="118">
        <f t="shared" ref="F315:F320" si="49">-F68</f>
        <v>0</v>
      </c>
      <c r="G315" s="119">
        <f t="shared" ref="G315:G320" si="50">SUM(D315:F315)</f>
        <v>0</v>
      </c>
      <c r="H315" s="120"/>
    </row>
    <row r="316" spans="3:10" ht="24" customHeight="1" thickBot="1" x14ac:dyDescent="0.3">
      <c r="C316" s="12" t="s">
        <v>216</v>
      </c>
      <c r="D316" s="121">
        <f t="shared" si="47"/>
        <v>0</v>
      </c>
      <c r="E316" s="121">
        <f t="shared" si="48"/>
        <v>0</v>
      </c>
      <c r="F316" s="121">
        <f t="shared" si="49"/>
        <v>0</v>
      </c>
      <c r="G316" s="122">
        <f t="shared" si="50"/>
        <v>0</v>
      </c>
    </row>
    <row r="317" spans="3:10" ht="24" hidden="1" customHeight="1" x14ac:dyDescent="0.25">
      <c r="C317" s="10" t="s">
        <v>10</v>
      </c>
      <c r="D317" s="123">
        <f t="shared" si="47"/>
        <v>0</v>
      </c>
      <c r="E317" s="123">
        <f t="shared" si="48"/>
        <v>0</v>
      </c>
      <c r="F317" s="123">
        <f t="shared" si="49"/>
        <v>0</v>
      </c>
      <c r="G317" s="124">
        <f t="shared" si="50"/>
        <v>0</v>
      </c>
    </row>
    <row r="318" spans="3:10" ht="24" hidden="1" customHeight="1" x14ac:dyDescent="0.25">
      <c r="C318" s="28" t="s">
        <v>11</v>
      </c>
      <c r="D318" s="125">
        <f t="shared" si="47"/>
        <v>0</v>
      </c>
      <c r="E318" s="125">
        <f t="shared" si="48"/>
        <v>0</v>
      </c>
      <c r="F318" s="125">
        <f t="shared" si="49"/>
        <v>0</v>
      </c>
      <c r="G318" s="126">
        <f t="shared" si="50"/>
        <v>0</v>
      </c>
    </row>
    <row r="319" spans="3:10" ht="24" hidden="1" customHeight="1" x14ac:dyDescent="0.25">
      <c r="C319" s="28" t="s">
        <v>12</v>
      </c>
      <c r="D319" s="125">
        <f t="shared" si="47"/>
        <v>0</v>
      </c>
      <c r="E319" s="125">
        <f t="shared" si="48"/>
        <v>0</v>
      </c>
      <c r="F319" s="125">
        <f t="shared" si="49"/>
        <v>0</v>
      </c>
      <c r="G319" s="126">
        <f t="shared" si="50"/>
        <v>0</v>
      </c>
    </row>
    <row r="320" spans="3:10" ht="24" hidden="1" customHeight="1" thickBot="1" x14ac:dyDescent="0.3">
      <c r="C320" s="12" t="s">
        <v>13</v>
      </c>
      <c r="D320" s="121">
        <f t="shared" si="47"/>
        <v>0</v>
      </c>
      <c r="E320" s="121">
        <f t="shared" si="48"/>
        <v>0</v>
      </c>
      <c r="F320" s="121">
        <f t="shared" si="49"/>
        <v>0</v>
      </c>
      <c r="G320" s="122">
        <f t="shared" si="50"/>
        <v>0</v>
      </c>
    </row>
    <row r="321" spans="3:14" ht="24" customHeight="1" thickBot="1" x14ac:dyDescent="0.3"/>
    <row r="322" spans="3:14" ht="24" customHeight="1" thickBot="1" x14ac:dyDescent="0.3">
      <c r="C322" s="398" t="s">
        <v>99</v>
      </c>
      <c r="D322" s="410"/>
      <c r="E322" s="410"/>
      <c r="F322" s="399"/>
    </row>
    <row r="323" spans="3:14" ht="24" customHeight="1" thickBot="1" x14ac:dyDescent="0.3">
      <c r="C323" s="51" t="s">
        <v>6</v>
      </c>
      <c r="D323" s="52" t="s">
        <v>20</v>
      </c>
      <c r="E323" s="52" t="s">
        <v>3</v>
      </c>
      <c r="F323" s="53" t="s">
        <v>14</v>
      </c>
    </row>
    <row r="324" spans="3:14" ht="24" customHeight="1" x14ac:dyDescent="0.25">
      <c r="C324" s="24" t="s">
        <v>176</v>
      </c>
      <c r="D324" s="118">
        <f t="shared" ref="D324:D329" si="51">G315</f>
        <v>0</v>
      </c>
      <c r="E324" s="54">
        <f t="shared" ref="E324:E329" si="52">$D$249</f>
        <v>1.737E-2</v>
      </c>
      <c r="F324" s="119">
        <f t="shared" ref="F324:F329" si="53">E324*D324</f>
        <v>0</v>
      </c>
    </row>
    <row r="325" spans="3:14" ht="24" customHeight="1" thickBot="1" x14ac:dyDescent="0.3">
      <c r="C325" s="12" t="s">
        <v>216</v>
      </c>
      <c r="D325" s="121">
        <f t="shared" si="51"/>
        <v>0</v>
      </c>
      <c r="E325" s="55">
        <f t="shared" si="52"/>
        <v>1.737E-2</v>
      </c>
      <c r="F325" s="122">
        <f t="shared" si="53"/>
        <v>0</v>
      </c>
    </row>
    <row r="326" spans="3:14" ht="24" hidden="1" customHeight="1" x14ac:dyDescent="0.25">
      <c r="C326" s="10" t="s">
        <v>10</v>
      </c>
      <c r="D326" s="123">
        <f t="shared" si="51"/>
        <v>0</v>
      </c>
      <c r="E326" s="61">
        <f t="shared" si="52"/>
        <v>1.737E-2</v>
      </c>
      <c r="F326" s="124">
        <f t="shared" si="53"/>
        <v>0</v>
      </c>
    </row>
    <row r="327" spans="3:14" ht="24" hidden="1" customHeight="1" x14ac:dyDescent="0.25">
      <c r="C327" s="28" t="s">
        <v>11</v>
      </c>
      <c r="D327" s="125">
        <f t="shared" si="51"/>
        <v>0</v>
      </c>
      <c r="E327" s="57">
        <f t="shared" si="52"/>
        <v>1.737E-2</v>
      </c>
      <c r="F327" s="126">
        <f t="shared" si="53"/>
        <v>0</v>
      </c>
    </row>
    <row r="328" spans="3:14" ht="24" hidden="1" customHeight="1" x14ac:dyDescent="0.25">
      <c r="C328" s="28" t="s">
        <v>12</v>
      </c>
      <c r="D328" s="125">
        <f t="shared" si="51"/>
        <v>0</v>
      </c>
      <c r="E328" s="57">
        <f t="shared" si="52"/>
        <v>1.737E-2</v>
      </c>
      <c r="F328" s="126">
        <f t="shared" si="53"/>
        <v>0</v>
      </c>
    </row>
    <row r="329" spans="3:14" ht="24" hidden="1" customHeight="1" thickBot="1" x14ac:dyDescent="0.3">
      <c r="C329" s="12" t="s">
        <v>13</v>
      </c>
      <c r="D329" s="121">
        <f t="shared" si="51"/>
        <v>0</v>
      </c>
      <c r="E329" s="55">
        <f t="shared" si="52"/>
        <v>1.737E-2</v>
      </c>
      <c r="F329" s="122">
        <f t="shared" si="53"/>
        <v>0</v>
      </c>
    </row>
    <row r="331" spans="3:14" ht="24" customHeight="1" x14ac:dyDescent="0.25">
      <c r="C331" s="363" t="s">
        <v>73</v>
      </c>
      <c r="D331" s="363"/>
      <c r="E331" s="363"/>
      <c r="F331" s="363"/>
      <c r="G331" s="363"/>
      <c r="H331" s="363"/>
      <c r="I331" s="363"/>
      <c r="J331" s="363"/>
    </row>
    <row r="332" spans="3:14" ht="24" customHeight="1" thickBot="1" x14ac:dyDescent="0.3"/>
    <row r="333" spans="3:14" ht="24" customHeight="1" thickBot="1" x14ac:dyDescent="0.3">
      <c r="C333" s="398" t="s">
        <v>73</v>
      </c>
      <c r="D333" s="410"/>
      <c r="E333" s="410"/>
      <c r="F333" s="410"/>
      <c r="G333" s="399"/>
    </row>
    <row r="334" spans="3:14" ht="24" customHeight="1" thickBot="1" x14ac:dyDescent="0.3">
      <c r="C334" s="21" t="s">
        <v>6</v>
      </c>
      <c r="D334" s="22" t="s">
        <v>100</v>
      </c>
      <c r="E334" s="22" t="s">
        <v>101</v>
      </c>
      <c r="F334" s="22" t="s">
        <v>102</v>
      </c>
      <c r="G334" s="23" t="s">
        <v>29</v>
      </c>
    </row>
    <row r="335" spans="3:14" ht="24" customHeight="1" x14ac:dyDescent="0.25">
      <c r="C335" s="24" t="s">
        <v>176</v>
      </c>
      <c r="D335" s="127">
        <f t="shared" ref="D335:D340" si="54">F275</f>
        <v>20.937046666666667</v>
      </c>
      <c r="E335" s="127">
        <f t="shared" ref="E335:E340" si="55">F304</f>
        <v>20.937046666666667</v>
      </c>
      <c r="F335" s="128">
        <f t="shared" ref="F335:F340" si="56">F324</f>
        <v>0</v>
      </c>
      <c r="G335" s="129">
        <f t="shared" ref="G335:G340" si="57">SUM(D335:F335)</f>
        <v>41.874093333333334</v>
      </c>
      <c r="H335" s="405"/>
      <c r="I335" s="405"/>
      <c r="J335" s="405"/>
      <c r="K335" s="405"/>
      <c r="L335" s="405"/>
      <c r="M335" s="405"/>
      <c r="N335" s="405"/>
    </row>
    <row r="336" spans="3:14" ht="24" customHeight="1" thickBot="1" x14ac:dyDescent="0.3">
      <c r="C336" s="12" t="s">
        <v>216</v>
      </c>
      <c r="D336" s="130">
        <f t="shared" si="54"/>
        <v>20.937046666666667</v>
      </c>
      <c r="E336" s="130">
        <f t="shared" si="55"/>
        <v>20.937046666666667</v>
      </c>
      <c r="F336" s="131">
        <f t="shared" si="56"/>
        <v>0</v>
      </c>
      <c r="G336" s="132">
        <f t="shared" si="57"/>
        <v>41.874093333333334</v>
      </c>
      <c r="H336" s="405"/>
      <c r="I336" s="405"/>
      <c r="J336" s="405"/>
      <c r="K336" s="405"/>
      <c r="L336" s="405"/>
      <c r="M336" s="405"/>
      <c r="N336" s="405"/>
    </row>
    <row r="337" spans="2:14" ht="24" hidden="1" customHeight="1" x14ac:dyDescent="0.25">
      <c r="C337" s="10" t="s">
        <v>10</v>
      </c>
      <c r="D337" s="133" t="e">
        <f t="shared" si="54"/>
        <v>#REF!</v>
      </c>
      <c r="E337" s="133" t="e">
        <f t="shared" si="55"/>
        <v>#REF!</v>
      </c>
      <c r="F337" s="134">
        <f t="shared" si="56"/>
        <v>0</v>
      </c>
      <c r="G337" s="135" t="e">
        <f t="shared" si="57"/>
        <v>#REF!</v>
      </c>
    </row>
    <row r="338" spans="2:14" ht="24" hidden="1" customHeight="1" x14ac:dyDescent="0.25">
      <c r="C338" s="28" t="s">
        <v>11</v>
      </c>
      <c r="D338" s="136" t="e">
        <f t="shared" si="54"/>
        <v>#REF!</v>
      </c>
      <c r="E338" s="136" t="e">
        <f t="shared" si="55"/>
        <v>#REF!</v>
      </c>
      <c r="F338" s="137">
        <f t="shared" si="56"/>
        <v>0</v>
      </c>
      <c r="G338" s="138" t="e">
        <f t="shared" si="57"/>
        <v>#REF!</v>
      </c>
      <c r="H338" s="413" t="s">
        <v>174</v>
      </c>
      <c r="I338" s="413"/>
      <c r="J338" s="413"/>
      <c r="K338" s="413"/>
      <c r="L338" s="413"/>
      <c r="M338" s="413"/>
      <c r="N338" s="414"/>
    </row>
    <row r="339" spans="2:14" ht="24" hidden="1" customHeight="1" x14ac:dyDescent="0.25">
      <c r="C339" s="28" t="s">
        <v>12</v>
      </c>
      <c r="D339" s="136" t="e">
        <f t="shared" si="54"/>
        <v>#REF!</v>
      </c>
      <c r="E339" s="136" t="e">
        <f t="shared" si="55"/>
        <v>#REF!</v>
      </c>
      <c r="F339" s="137">
        <f t="shared" si="56"/>
        <v>0</v>
      </c>
      <c r="G339" s="138" t="e">
        <f t="shared" si="57"/>
        <v>#REF!</v>
      </c>
    </row>
    <row r="340" spans="2:14" ht="24" hidden="1" customHeight="1" thickBot="1" x14ac:dyDescent="0.3">
      <c r="C340" s="12" t="s">
        <v>13</v>
      </c>
      <c r="D340" s="130" t="e">
        <f t="shared" si="54"/>
        <v>#REF!</v>
      </c>
      <c r="E340" s="130" t="e">
        <f t="shared" si="55"/>
        <v>#REF!</v>
      </c>
      <c r="F340" s="131">
        <f t="shared" si="56"/>
        <v>0</v>
      </c>
      <c r="G340" s="132" t="e">
        <f t="shared" si="57"/>
        <v>#REF!</v>
      </c>
      <c r="H340" s="415" t="s">
        <v>175</v>
      </c>
      <c r="I340" s="415"/>
      <c r="J340" s="415"/>
      <c r="K340" s="415"/>
      <c r="L340" s="415"/>
      <c r="M340" s="415"/>
      <c r="N340" s="416"/>
    </row>
    <row r="341" spans="2:14" ht="24" customHeight="1" thickBot="1" x14ac:dyDescent="0.3"/>
    <row r="342" spans="2:14" ht="24" customHeight="1" thickBot="1" x14ac:dyDescent="0.3">
      <c r="B342" s="383" t="s">
        <v>104</v>
      </c>
      <c r="C342" s="384"/>
      <c r="D342" s="384"/>
      <c r="E342" s="384"/>
      <c r="F342" s="384"/>
      <c r="G342" s="384"/>
      <c r="H342" s="384"/>
      <c r="I342" s="385"/>
      <c r="J342" s="9"/>
    </row>
    <row r="343" spans="2:14" ht="24" customHeight="1" thickBot="1" x14ac:dyDescent="0.3"/>
    <row r="344" spans="2:14" ht="24" customHeight="1" x14ac:dyDescent="0.25">
      <c r="C344" s="417" t="s">
        <v>217</v>
      </c>
      <c r="D344" s="418"/>
      <c r="E344" s="418"/>
      <c r="F344" s="418"/>
      <c r="G344" s="419"/>
      <c r="H344" s="139"/>
      <c r="I344" s="139"/>
    </row>
    <row r="345" spans="2:14" ht="24" customHeight="1" x14ac:dyDescent="0.25">
      <c r="C345" s="424" t="s">
        <v>108</v>
      </c>
      <c r="D345" s="426"/>
      <c r="E345" s="426"/>
      <c r="F345" s="426"/>
      <c r="G345" s="427"/>
      <c r="H345" s="139"/>
      <c r="I345" s="139"/>
    </row>
    <row r="346" spans="2:14" ht="24" customHeight="1" x14ac:dyDescent="0.25">
      <c r="C346" s="424" t="s">
        <v>6</v>
      </c>
      <c r="D346" s="426" t="s">
        <v>109</v>
      </c>
      <c r="E346" s="426" t="s">
        <v>110</v>
      </c>
      <c r="F346" s="426" t="s">
        <v>111</v>
      </c>
      <c r="G346" s="427"/>
      <c r="H346" s="423"/>
      <c r="I346" s="423"/>
    </row>
    <row r="347" spans="2:14" ht="31.5" x14ac:dyDescent="0.25">
      <c r="C347" s="424"/>
      <c r="D347" s="426"/>
      <c r="E347" s="426"/>
      <c r="F347" s="92" t="s">
        <v>112</v>
      </c>
      <c r="G347" s="140" t="s">
        <v>113</v>
      </c>
      <c r="H347" s="141"/>
      <c r="I347" s="141"/>
    </row>
    <row r="348" spans="2:14" ht="24" customHeight="1" x14ac:dyDescent="0.25">
      <c r="C348" s="97" t="s">
        <v>36</v>
      </c>
      <c r="D348" s="142">
        <v>1</v>
      </c>
      <c r="E348" s="143">
        <v>30</v>
      </c>
      <c r="F348" s="144">
        <f>(252/365)</f>
        <v>0.69041095890410964</v>
      </c>
      <c r="G348" s="145">
        <f>(D348*E348)*F348</f>
        <v>20.712328767123289</v>
      </c>
      <c r="H348" s="146"/>
      <c r="I348" s="147"/>
    </row>
    <row r="349" spans="2:14" ht="24" customHeight="1" x14ac:dyDescent="0.25">
      <c r="C349" s="97" t="s">
        <v>114</v>
      </c>
      <c r="D349" s="142">
        <v>1</v>
      </c>
      <c r="E349" s="143">
        <v>1</v>
      </c>
      <c r="F349" s="144">
        <v>1</v>
      </c>
      <c r="G349" s="145">
        <f t="shared" ref="G349:G359" si="58">(D349*E349)*F349</f>
        <v>1</v>
      </c>
      <c r="H349" s="146"/>
      <c r="I349" s="147"/>
    </row>
    <row r="350" spans="2:14" ht="24" customHeight="1" x14ac:dyDescent="0.25">
      <c r="C350" s="97" t="s">
        <v>115</v>
      </c>
      <c r="D350" s="142">
        <v>9.2200000000000004E-2</v>
      </c>
      <c r="E350" s="143">
        <v>15</v>
      </c>
      <c r="F350" s="144">
        <f>(252/365)</f>
        <v>0.69041095890410964</v>
      </c>
      <c r="G350" s="145">
        <f t="shared" si="58"/>
        <v>0.95483835616438362</v>
      </c>
      <c r="H350" s="146"/>
      <c r="I350" s="147"/>
    </row>
    <row r="351" spans="2:14" ht="32.25" customHeight="1" x14ac:dyDescent="0.25">
      <c r="C351" s="97" t="s">
        <v>116</v>
      </c>
      <c r="D351" s="142">
        <v>1</v>
      </c>
      <c r="E351" s="143">
        <v>5</v>
      </c>
      <c r="F351" s="144">
        <f>(252/365)</f>
        <v>0.69041095890410964</v>
      </c>
      <c r="G351" s="145">
        <f t="shared" si="58"/>
        <v>3.4520547945205484</v>
      </c>
      <c r="H351" s="146"/>
      <c r="I351" s="147"/>
    </row>
    <row r="352" spans="2:14" ht="24" customHeight="1" x14ac:dyDescent="0.25">
      <c r="C352" s="97" t="s">
        <v>117</v>
      </c>
      <c r="D352" s="142">
        <v>0.1522</v>
      </c>
      <c r="E352" s="143">
        <v>2</v>
      </c>
      <c r="F352" s="144">
        <v>1</v>
      </c>
      <c r="G352" s="145">
        <f t="shared" si="58"/>
        <v>0.3044</v>
      </c>
      <c r="H352" s="146"/>
      <c r="I352" s="147"/>
    </row>
    <row r="353" spans="3:9" ht="24" customHeight="1" x14ac:dyDescent="0.25">
      <c r="C353" s="97" t="s">
        <v>118</v>
      </c>
      <c r="D353" s="142">
        <v>3.09E-2</v>
      </c>
      <c r="E353" s="143">
        <v>2</v>
      </c>
      <c r="F353" s="144">
        <f>(252/365)</f>
        <v>0.69041095890410964</v>
      </c>
      <c r="G353" s="145">
        <f t="shared" si="58"/>
        <v>4.2667397260273979E-2</v>
      </c>
      <c r="H353" s="146"/>
      <c r="I353" s="147"/>
    </row>
    <row r="354" spans="3:9" ht="24" customHeight="1" x14ac:dyDescent="0.25">
      <c r="C354" s="97" t="s">
        <v>119</v>
      </c>
      <c r="D354" s="142">
        <v>1.23E-2</v>
      </c>
      <c r="E354" s="143">
        <v>3</v>
      </c>
      <c r="F354" s="144">
        <v>1</v>
      </c>
      <c r="G354" s="145">
        <f t="shared" si="58"/>
        <v>3.6900000000000002E-2</v>
      </c>
      <c r="H354" s="146"/>
      <c r="I354" s="147"/>
    </row>
    <row r="355" spans="3:9" ht="24" customHeight="1" x14ac:dyDescent="0.25">
      <c r="C355" s="97" t="s">
        <v>120</v>
      </c>
      <c r="D355" s="142">
        <v>0.02</v>
      </c>
      <c r="E355" s="143">
        <v>1</v>
      </c>
      <c r="F355" s="144">
        <v>1</v>
      </c>
      <c r="G355" s="145">
        <f t="shared" si="58"/>
        <v>0.02</v>
      </c>
      <c r="H355" s="146"/>
      <c r="I355" s="147"/>
    </row>
    <row r="356" spans="3:9" ht="24" customHeight="1" x14ac:dyDescent="0.25">
      <c r="C356" s="97" t="s">
        <v>121</v>
      </c>
      <c r="D356" s="142">
        <v>4.0000000000000001E-3</v>
      </c>
      <c r="E356" s="143">
        <v>1</v>
      </c>
      <c r="F356" s="144">
        <v>1</v>
      </c>
      <c r="G356" s="145">
        <f t="shared" si="58"/>
        <v>4.0000000000000001E-3</v>
      </c>
      <c r="H356" s="146"/>
      <c r="I356" s="147"/>
    </row>
    <row r="357" spans="3:9" ht="24" customHeight="1" x14ac:dyDescent="0.25">
      <c r="C357" s="97" t="s">
        <v>122</v>
      </c>
      <c r="D357" s="142">
        <v>1.37E-2</v>
      </c>
      <c r="E357" s="143">
        <v>20</v>
      </c>
      <c r="F357" s="144">
        <f>(252/365)</f>
        <v>0.69041095890410964</v>
      </c>
      <c r="G357" s="145">
        <f t="shared" si="58"/>
        <v>0.18917260273972605</v>
      </c>
      <c r="H357" s="146"/>
      <c r="I357" s="147"/>
    </row>
    <row r="358" spans="3:9" ht="24" customHeight="1" x14ac:dyDescent="0.25">
      <c r="C358" s="97" t="s">
        <v>123</v>
      </c>
      <c r="D358" s="142">
        <v>1.9900000000000001E-2</v>
      </c>
      <c r="E358" s="143">
        <v>180</v>
      </c>
      <c r="F358" s="144">
        <f>(252/365)</f>
        <v>0.69041095890410964</v>
      </c>
      <c r="G358" s="145">
        <f t="shared" si="58"/>
        <v>2.4730520547945209</v>
      </c>
      <c r="H358" s="146"/>
      <c r="I358" s="147"/>
    </row>
    <row r="359" spans="3:9" ht="24" customHeight="1" thickBot="1" x14ac:dyDescent="0.3">
      <c r="C359" s="99" t="s">
        <v>124</v>
      </c>
      <c r="D359" s="148">
        <v>3.1015589449665264E-4</v>
      </c>
      <c r="E359" s="149">
        <v>6</v>
      </c>
      <c r="F359" s="150">
        <v>1</v>
      </c>
      <c r="G359" s="151">
        <f t="shared" si="58"/>
        <v>1.8609353669799158E-3</v>
      </c>
      <c r="H359" s="146"/>
      <c r="I359" s="147"/>
    </row>
    <row r="360" spans="3:9" ht="24" customHeight="1" thickBot="1" x14ac:dyDescent="0.3"/>
    <row r="361" spans="3:9" ht="24" customHeight="1" x14ac:dyDescent="0.25">
      <c r="C361" s="371" t="s">
        <v>128</v>
      </c>
      <c r="D361" s="372"/>
      <c r="E361" s="372"/>
      <c r="F361" s="373"/>
    </row>
    <row r="362" spans="3:9" ht="24" customHeight="1" x14ac:dyDescent="0.25">
      <c r="C362" s="424" t="s">
        <v>125</v>
      </c>
      <c r="D362" s="426" t="s">
        <v>217</v>
      </c>
      <c r="E362" s="426"/>
      <c r="F362" s="427"/>
    </row>
    <row r="363" spans="3:9" ht="24" customHeight="1" x14ac:dyDescent="0.25">
      <c r="C363" s="424"/>
      <c r="D363" s="92" t="s">
        <v>180</v>
      </c>
      <c r="E363" s="92" t="s">
        <v>180</v>
      </c>
      <c r="F363" s="140" t="s">
        <v>126</v>
      </c>
    </row>
    <row r="364" spans="3:9" ht="24" customHeight="1" x14ac:dyDescent="0.25">
      <c r="C364" s="97" t="s">
        <v>36</v>
      </c>
      <c r="D364" s="152" t="s">
        <v>180</v>
      </c>
      <c r="E364" s="152" t="s">
        <v>180</v>
      </c>
      <c r="F364" s="153">
        <f>G348</f>
        <v>20.712328767123289</v>
      </c>
    </row>
    <row r="365" spans="3:9" ht="26.25" customHeight="1" x14ac:dyDescent="0.25">
      <c r="C365" s="97" t="s">
        <v>114</v>
      </c>
      <c r="D365" s="152" t="s">
        <v>180</v>
      </c>
      <c r="E365" s="152" t="s">
        <v>180</v>
      </c>
      <c r="F365" s="153">
        <f t="shared" ref="F365:F375" si="59">G349</f>
        <v>1</v>
      </c>
    </row>
    <row r="366" spans="3:9" ht="24" customHeight="1" x14ac:dyDescent="0.25">
      <c r="C366" s="97" t="s">
        <v>115</v>
      </c>
      <c r="D366" s="152" t="s">
        <v>180</v>
      </c>
      <c r="E366" s="152" t="s">
        <v>180</v>
      </c>
      <c r="F366" s="153">
        <f t="shared" si="59"/>
        <v>0.95483835616438362</v>
      </c>
    </row>
    <row r="367" spans="3:9" ht="24" customHeight="1" x14ac:dyDescent="0.25">
      <c r="C367" s="97" t="s">
        <v>116</v>
      </c>
      <c r="D367" s="152" t="s">
        <v>180</v>
      </c>
      <c r="E367" s="152" t="s">
        <v>180</v>
      </c>
      <c r="F367" s="153">
        <f t="shared" si="59"/>
        <v>3.4520547945205484</v>
      </c>
    </row>
    <row r="368" spans="3:9" ht="24" customHeight="1" x14ac:dyDescent="0.25">
      <c r="C368" s="97" t="s">
        <v>117</v>
      </c>
      <c r="D368" s="152" t="s">
        <v>180</v>
      </c>
      <c r="E368" s="152" t="s">
        <v>180</v>
      </c>
      <c r="F368" s="153">
        <f t="shared" si="59"/>
        <v>0.3044</v>
      </c>
    </row>
    <row r="369" spans="3:10" ht="24" customHeight="1" x14ac:dyDescent="0.25">
      <c r="C369" s="97" t="s">
        <v>118</v>
      </c>
      <c r="D369" s="152" t="s">
        <v>180</v>
      </c>
      <c r="E369" s="152" t="s">
        <v>180</v>
      </c>
      <c r="F369" s="153">
        <f t="shared" si="59"/>
        <v>4.2667397260273979E-2</v>
      </c>
    </row>
    <row r="370" spans="3:10" ht="24" customHeight="1" x14ac:dyDescent="0.25">
      <c r="C370" s="97" t="s">
        <v>119</v>
      </c>
      <c r="D370" s="152" t="s">
        <v>180</v>
      </c>
      <c r="E370" s="152" t="s">
        <v>180</v>
      </c>
      <c r="F370" s="153">
        <f t="shared" si="59"/>
        <v>3.6900000000000002E-2</v>
      </c>
    </row>
    <row r="371" spans="3:10" ht="24" customHeight="1" x14ac:dyDescent="0.25">
      <c r="C371" s="97" t="s">
        <v>120</v>
      </c>
      <c r="D371" s="152" t="s">
        <v>180</v>
      </c>
      <c r="E371" s="152" t="s">
        <v>180</v>
      </c>
      <c r="F371" s="153">
        <f t="shared" si="59"/>
        <v>0.02</v>
      </c>
    </row>
    <row r="372" spans="3:10" ht="24" customHeight="1" x14ac:dyDescent="0.25">
      <c r="C372" s="97" t="s">
        <v>121</v>
      </c>
      <c r="D372" s="152" t="s">
        <v>180</v>
      </c>
      <c r="E372" s="152" t="s">
        <v>180</v>
      </c>
      <c r="F372" s="153">
        <f t="shared" si="59"/>
        <v>4.0000000000000001E-3</v>
      </c>
    </row>
    <row r="373" spans="3:10" ht="24" customHeight="1" x14ac:dyDescent="0.25">
      <c r="C373" s="97" t="s">
        <v>122</v>
      </c>
      <c r="D373" s="152" t="s">
        <v>180</v>
      </c>
      <c r="E373" s="152" t="s">
        <v>180</v>
      </c>
      <c r="F373" s="153">
        <f t="shared" si="59"/>
        <v>0.18917260273972605</v>
      </c>
    </row>
    <row r="374" spans="3:10" ht="24" customHeight="1" x14ac:dyDescent="0.25">
      <c r="C374" s="97" t="s">
        <v>123</v>
      </c>
      <c r="D374" s="152" t="s">
        <v>180</v>
      </c>
      <c r="E374" s="152" t="s">
        <v>180</v>
      </c>
      <c r="F374" s="153">
        <f t="shared" si="59"/>
        <v>2.4730520547945209</v>
      </c>
    </row>
    <row r="375" spans="3:10" ht="24" customHeight="1" x14ac:dyDescent="0.25">
      <c r="C375" s="97" t="s">
        <v>124</v>
      </c>
      <c r="D375" s="152" t="s">
        <v>180</v>
      </c>
      <c r="E375" s="152" t="s">
        <v>180</v>
      </c>
      <c r="F375" s="153">
        <f t="shared" si="59"/>
        <v>1.8609353669799158E-3</v>
      </c>
    </row>
    <row r="376" spans="3:10" ht="24" customHeight="1" thickBot="1" x14ac:dyDescent="0.3">
      <c r="C376" s="154" t="s">
        <v>127</v>
      </c>
      <c r="D376" s="155">
        <f>SUM(D364:D375)</f>
        <v>0</v>
      </c>
      <c r="E376" s="155">
        <f>SUM(E364:E375)</f>
        <v>0</v>
      </c>
      <c r="F376" s="156">
        <f>SUM(F364:F375)</f>
        <v>29.191274907969728</v>
      </c>
    </row>
    <row r="378" spans="3:10" ht="24" customHeight="1" x14ac:dyDescent="0.25">
      <c r="C378" s="363" t="s">
        <v>132</v>
      </c>
      <c r="D378" s="363"/>
      <c r="E378" s="363"/>
      <c r="F378" s="363"/>
      <c r="G378" s="363"/>
      <c r="H378" s="363"/>
      <c r="I378" s="363"/>
      <c r="J378" s="363"/>
    </row>
    <row r="379" spans="3:10" ht="24" customHeight="1" thickBot="1" x14ac:dyDescent="0.3"/>
    <row r="380" spans="3:10" ht="24" customHeight="1" thickBot="1" x14ac:dyDescent="0.3">
      <c r="C380" s="398" t="s">
        <v>107</v>
      </c>
      <c r="D380" s="410"/>
      <c r="E380" s="410"/>
      <c r="F380" s="399"/>
    </row>
    <row r="381" spans="3:10" ht="24" customHeight="1" thickBot="1" x14ac:dyDescent="0.3">
      <c r="C381" s="51" t="s">
        <v>6</v>
      </c>
      <c r="D381" s="52" t="s">
        <v>2</v>
      </c>
      <c r="E381" s="52" t="s">
        <v>106</v>
      </c>
      <c r="F381" s="53" t="s">
        <v>105</v>
      </c>
    </row>
    <row r="382" spans="3:10" ht="24" customHeight="1" x14ac:dyDescent="0.25">
      <c r="C382" s="24" t="s">
        <v>176</v>
      </c>
      <c r="D382" s="25">
        <f t="shared" ref="D382:D387" si="60">I55+G235+G335</f>
        <v>641.07409333333339</v>
      </c>
      <c r="E382" s="73">
        <v>30</v>
      </c>
      <c r="F382" s="27">
        <f t="shared" ref="F382:F387" si="61">D382/E382</f>
        <v>21.369136444444447</v>
      </c>
    </row>
    <row r="383" spans="3:10" ht="24" customHeight="1" thickBot="1" x14ac:dyDescent="0.3">
      <c r="C383" s="12" t="s">
        <v>216</v>
      </c>
      <c r="D383" s="36">
        <f t="shared" si="60"/>
        <v>641.07409333333339</v>
      </c>
      <c r="E383" s="75">
        <v>30</v>
      </c>
      <c r="F383" s="13">
        <f t="shared" si="61"/>
        <v>21.369136444444447</v>
      </c>
    </row>
    <row r="384" spans="3:10" ht="24" hidden="1" customHeight="1" x14ac:dyDescent="0.25">
      <c r="C384" s="10" t="s">
        <v>10</v>
      </c>
      <c r="D384" s="59" t="e">
        <f t="shared" si="60"/>
        <v>#REF!</v>
      </c>
      <c r="E384" s="77">
        <v>30</v>
      </c>
      <c r="F384" s="11" t="e">
        <f t="shared" si="61"/>
        <v>#REF!</v>
      </c>
    </row>
    <row r="385" spans="3:10" ht="24" hidden="1" customHeight="1" x14ac:dyDescent="0.25">
      <c r="C385" s="28" t="s">
        <v>11</v>
      </c>
      <c r="D385" s="29" t="e">
        <f t="shared" si="60"/>
        <v>#REF!</v>
      </c>
      <c r="E385" s="79">
        <v>30</v>
      </c>
      <c r="F385" s="31" t="e">
        <f t="shared" si="61"/>
        <v>#REF!</v>
      </c>
    </row>
    <row r="386" spans="3:10" ht="24" hidden="1" customHeight="1" x14ac:dyDescent="0.25">
      <c r="C386" s="28" t="s">
        <v>12</v>
      </c>
      <c r="D386" s="29" t="e">
        <f t="shared" si="60"/>
        <v>#REF!</v>
      </c>
      <c r="E386" s="79">
        <v>30</v>
      </c>
      <c r="F386" s="31" t="e">
        <f t="shared" si="61"/>
        <v>#REF!</v>
      </c>
    </row>
    <row r="387" spans="3:10" ht="24" hidden="1" customHeight="1" thickBot="1" x14ac:dyDescent="0.3">
      <c r="C387" s="12" t="s">
        <v>13</v>
      </c>
      <c r="D387" s="36" t="e">
        <f t="shared" si="60"/>
        <v>#REF!</v>
      </c>
      <c r="E387" s="75">
        <v>30</v>
      </c>
      <c r="F387" s="13" t="e">
        <f t="shared" si="61"/>
        <v>#REF!</v>
      </c>
    </row>
    <row r="388" spans="3:10" ht="24" customHeight="1" thickBot="1" x14ac:dyDescent="0.3"/>
    <row r="389" spans="3:10" ht="24" customHeight="1" thickBot="1" x14ac:dyDescent="0.3">
      <c r="C389" s="444" t="s">
        <v>132</v>
      </c>
      <c r="D389" s="445"/>
      <c r="E389" s="445"/>
      <c r="F389" s="445"/>
      <c r="G389" s="446"/>
    </row>
    <row r="390" spans="3:10" ht="32.25" thickBot="1" x14ac:dyDescent="0.3">
      <c r="C390" s="51" t="s">
        <v>6</v>
      </c>
      <c r="D390" s="52" t="s">
        <v>105</v>
      </c>
      <c r="E390" s="58" t="s">
        <v>129</v>
      </c>
      <c r="F390" s="52" t="s">
        <v>130</v>
      </c>
      <c r="G390" s="53" t="s">
        <v>131</v>
      </c>
    </row>
    <row r="391" spans="3:10" ht="24" customHeight="1" x14ac:dyDescent="0.25">
      <c r="C391" s="24" t="s">
        <v>176</v>
      </c>
      <c r="D391" s="25">
        <f t="shared" ref="D391:D396" si="62">F382</f>
        <v>21.369136444444447</v>
      </c>
      <c r="E391" s="157">
        <f>F376</f>
        <v>29.191274907969728</v>
      </c>
      <c r="F391" s="25">
        <f t="shared" ref="F391:F396" si="63">D391*E391</f>
        <v>623.79233649569267</v>
      </c>
      <c r="G391" s="27">
        <f t="shared" ref="G391:G396" si="64">F391/12</f>
        <v>51.982694707974389</v>
      </c>
    </row>
    <row r="392" spans="3:10" ht="24" customHeight="1" thickBot="1" x14ac:dyDescent="0.3">
      <c r="C392" s="12" t="s">
        <v>216</v>
      </c>
      <c r="D392" s="36">
        <f t="shared" si="62"/>
        <v>21.369136444444447</v>
      </c>
      <c r="E392" s="158">
        <f>F376</f>
        <v>29.191274907969728</v>
      </c>
      <c r="F392" s="36">
        <f t="shared" si="63"/>
        <v>623.79233649569267</v>
      </c>
      <c r="G392" s="13">
        <f t="shared" si="64"/>
        <v>51.982694707974389</v>
      </c>
    </row>
    <row r="393" spans="3:10" ht="24" hidden="1" customHeight="1" x14ac:dyDescent="0.25">
      <c r="C393" s="10" t="s">
        <v>10</v>
      </c>
      <c r="D393" s="59" t="e">
        <f t="shared" si="62"/>
        <v>#REF!</v>
      </c>
      <c r="E393" s="159">
        <f>F376</f>
        <v>29.191274907969728</v>
      </c>
      <c r="F393" s="59" t="e">
        <f t="shared" si="63"/>
        <v>#REF!</v>
      </c>
      <c r="G393" s="11" t="e">
        <f t="shared" si="64"/>
        <v>#REF!</v>
      </c>
    </row>
    <row r="394" spans="3:10" ht="24" hidden="1" customHeight="1" x14ac:dyDescent="0.25">
      <c r="C394" s="28" t="s">
        <v>11</v>
      </c>
      <c r="D394" s="29" t="e">
        <f t="shared" si="62"/>
        <v>#REF!</v>
      </c>
      <c r="E394" s="160">
        <f>D376</f>
        <v>0</v>
      </c>
      <c r="F394" s="29" t="e">
        <f t="shared" si="63"/>
        <v>#REF!</v>
      </c>
      <c r="G394" s="31" t="e">
        <f t="shared" si="64"/>
        <v>#REF!</v>
      </c>
    </row>
    <row r="395" spans="3:10" ht="24" hidden="1" customHeight="1" x14ac:dyDescent="0.25">
      <c r="C395" s="28" t="s">
        <v>12</v>
      </c>
      <c r="D395" s="29" t="e">
        <f t="shared" si="62"/>
        <v>#REF!</v>
      </c>
      <c r="E395" s="160">
        <f>E376</f>
        <v>0</v>
      </c>
      <c r="F395" s="29" t="e">
        <f t="shared" si="63"/>
        <v>#REF!</v>
      </c>
      <c r="G395" s="31" t="e">
        <f t="shared" si="64"/>
        <v>#REF!</v>
      </c>
    </row>
    <row r="396" spans="3:10" ht="24" hidden="1" customHeight="1" thickBot="1" x14ac:dyDescent="0.3">
      <c r="C396" s="12" t="s">
        <v>13</v>
      </c>
      <c r="D396" s="36" t="e">
        <f t="shared" si="62"/>
        <v>#REF!</v>
      </c>
      <c r="E396" s="158">
        <f>F376</f>
        <v>29.191274907969728</v>
      </c>
      <c r="F396" s="36" t="e">
        <f t="shared" si="63"/>
        <v>#REF!</v>
      </c>
      <c r="G396" s="13" t="e">
        <f t="shared" si="64"/>
        <v>#REF!</v>
      </c>
    </row>
    <row r="397" spans="3:10" ht="24" hidden="1" customHeight="1" x14ac:dyDescent="0.25">
      <c r="C397" s="363" t="s">
        <v>133</v>
      </c>
      <c r="D397" s="363"/>
      <c r="E397" s="363"/>
      <c r="F397" s="363"/>
      <c r="G397" s="363"/>
      <c r="H397" s="363"/>
      <c r="I397" s="363"/>
      <c r="J397" s="363"/>
    </row>
    <row r="398" spans="3:10" ht="24" hidden="1" customHeight="1" thickBot="1" x14ac:dyDescent="0.3"/>
    <row r="399" spans="3:10" ht="24" hidden="1" customHeight="1" thickBot="1" x14ac:dyDescent="0.3">
      <c r="C399" s="395" t="s">
        <v>135</v>
      </c>
      <c r="D399" s="396"/>
      <c r="E399" s="396"/>
      <c r="F399" s="397"/>
    </row>
    <row r="400" spans="3:10" ht="22.5" hidden="1" customHeight="1" x14ac:dyDescent="0.25">
      <c r="C400" s="51" t="s">
        <v>6</v>
      </c>
      <c r="D400" s="52" t="s">
        <v>2</v>
      </c>
      <c r="E400" s="52" t="s">
        <v>134</v>
      </c>
      <c r="F400" s="53" t="s">
        <v>14</v>
      </c>
    </row>
    <row r="401" spans="3:10" ht="22.5" hidden="1" customHeight="1" x14ac:dyDescent="0.25">
      <c r="C401" s="45" t="s">
        <v>176</v>
      </c>
      <c r="D401" s="29">
        <v>0</v>
      </c>
      <c r="E401" s="45">
        <v>192</v>
      </c>
      <c r="F401" s="70">
        <f>D401/E401</f>
        <v>0</v>
      </c>
    </row>
    <row r="402" spans="3:10" ht="22.5" hidden="1" customHeight="1" x14ac:dyDescent="0.25">
      <c r="C402" s="45" t="s">
        <v>177</v>
      </c>
      <c r="D402" s="29">
        <v>0</v>
      </c>
      <c r="E402" s="45">
        <v>192</v>
      </c>
      <c r="F402" s="70">
        <f>D402/E402</f>
        <v>0</v>
      </c>
    </row>
    <row r="403" spans="3:10" ht="22.5" hidden="1" customHeight="1" x14ac:dyDescent="0.25">
      <c r="C403" s="45" t="s">
        <v>10</v>
      </c>
      <c r="D403" s="29" t="e">
        <f>D384</f>
        <v>#REF!</v>
      </c>
      <c r="E403" s="45">
        <v>220</v>
      </c>
      <c r="F403" s="70" t="e">
        <f>D403/E403</f>
        <v>#REF!</v>
      </c>
    </row>
    <row r="404" spans="3:10" ht="24" hidden="1" customHeight="1" thickBot="1" x14ac:dyDescent="0.3"/>
    <row r="405" spans="3:10" ht="24" hidden="1" customHeight="1" thickBot="1" x14ac:dyDescent="0.3">
      <c r="C405" s="395" t="s">
        <v>133</v>
      </c>
      <c r="D405" s="396"/>
      <c r="E405" s="396"/>
      <c r="F405" s="397"/>
    </row>
    <row r="406" spans="3:10" ht="32.25" hidden="1" thickBot="1" x14ac:dyDescent="0.3">
      <c r="C406" s="21" t="s">
        <v>6</v>
      </c>
      <c r="D406" s="22" t="s">
        <v>136</v>
      </c>
      <c r="E406" s="42" t="s">
        <v>137</v>
      </c>
      <c r="F406" s="23" t="s">
        <v>14</v>
      </c>
    </row>
    <row r="407" spans="3:10" ht="24" hidden="1" customHeight="1" x14ac:dyDescent="0.25">
      <c r="C407" s="45" t="s">
        <v>176</v>
      </c>
      <c r="D407" s="25">
        <f>F401</f>
        <v>0</v>
      </c>
      <c r="E407" s="43">
        <v>12</v>
      </c>
      <c r="F407" s="27">
        <f>D407*E407</f>
        <v>0</v>
      </c>
    </row>
    <row r="408" spans="3:10" ht="24" hidden="1" customHeight="1" x14ac:dyDescent="0.25">
      <c r="C408" s="45" t="s">
        <v>177</v>
      </c>
      <c r="D408" s="29">
        <f>F402</f>
        <v>0</v>
      </c>
      <c r="E408" s="45">
        <v>12</v>
      </c>
      <c r="F408" s="31">
        <f>D408*E408</f>
        <v>0</v>
      </c>
    </row>
    <row r="409" spans="3:10" ht="24" hidden="1" customHeight="1" thickBot="1" x14ac:dyDescent="0.3">
      <c r="C409" s="12" t="s">
        <v>10</v>
      </c>
      <c r="D409" s="36" t="e">
        <f>F403</f>
        <v>#REF!</v>
      </c>
      <c r="E409" s="47">
        <v>22</v>
      </c>
      <c r="F409" s="13" t="e">
        <f>D409*E409</f>
        <v>#REF!</v>
      </c>
    </row>
    <row r="411" spans="3:10" ht="24" customHeight="1" x14ac:dyDescent="0.25">
      <c r="C411" s="363" t="s">
        <v>104</v>
      </c>
      <c r="D411" s="363"/>
      <c r="E411" s="363"/>
      <c r="F411" s="363"/>
      <c r="G411" s="363"/>
      <c r="H411" s="363"/>
      <c r="I411" s="363"/>
      <c r="J411" s="363"/>
    </row>
    <row r="412" spans="3:10" ht="24" customHeight="1" thickBot="1" x14ac:dyDescent="0.3"/>
    <row r="413" spans="3:10" ht="24" customHeight="1" thickBot="1" x14ac:dyDescent="0.3">
      <c r="C413" s="398" t="s">
        <v>104</v>
      </c>
      <c r="D413" s="410"/>
      <c r="E413" s="410"/>
      <c r="F413" s="399"/>
    </row>
    <row r="414" spans="3:10" ht="24" customHeight="1" thickBot="1" x14ac:dyDescent="0.3">
      <c r="C414" s="51" t="s">
        <v>6</v>
      </c>
      <c r="D414" s="52" t="s">
        <v>138</v>
      </c>
      <c r="E414" s="52" t="s">
        <v>180</v>
      </c>
      <c r="F414" s="53" t="s">
        <v>29</v>
      </c>
    </row>
    <row r="415" spans="3:10" ht="24" customHeight="1" x14ac:dyDescent="0.25">
      <c r="C415" s="24" t="s">
        <v>176</v>
      </c>
      <c r="D415" s="25">
        <f t="shared" ref="D415:D420" si="65">G391</f>
        <v>51.982694707974389</v>
      </c>
      <c r="E415" s="25" t="s">
        <v>180</v>
      </c>
      <c r="F415" s="27">
        <f>D415</f>
        <v>51.982694707974389</v>
      </c>
    </row>
    <row r="416" spans="3:10" ht="24" customHeight="1" thickBot="1" x14ac:dyDescent="0.3">
      <c r="C416" s="12" t="s">
        <v>216</v>
      </c>
      <c r="D416" s="36">
        <f t="shared" si="65"/>
        <v>51.982694707974389</v>
      </c>
      <c r="E416" s="36" t="s">
        <v>180</v>
      </c>
      <c r="F416" s="13">
        <f>D416</f>
        <v>51.982694707974389</v>
      </c>
    </row>
    <row r="417" spans="2:9" ht="24" hidden="1" customHeight="1" x14ac:dyDescent="0.25">
      <c r="C417" s="68" t="s">
        <v>10</v>
      </c>
      <c r="D417" s="59" t="e">
        <f t="shared" si="65"/>
        <v>#REF!</v>
      </c>
      <c r="E417" s="59" t="e">
        <f>F409</f>
        <v>#REF!</v>
      </c>
      <c r="F417" s="69" t="e">
        <f>D417+E417</f>
        <v>#REF!</v>
      </c>
    </row>
    <row r="418" spans="2:9" ht="24" hidden="1" customHeight="1" x14ac:dyDescent="0.25">
      <c r="C418" s="45" t="s">
        <v>11</v>
      </c>
      <c r="D418" s="29" t="e">
        <f t="shared" si="65"/>
        <v>#REF!</v>
      </c>
      <c r="E418" s="29">
        <v>0</v>
      </c>
      <c r="F418" s="70" t="e">
        <f>D418+E418</f>
        <v>#REF!</v>
      </c>
    </row>
    <row r="419" spans="2:9" ht="24" hidden="1" customHeight="1" x14ac:dyDescent="0.25">
      <c r="C419" s="45" t="s">
        <v>12</v>
      </c>
      <c r="D419" s="29" t="e">
        <f t="shared" si="65"/>
        <v>#REF!</v>
      </c>
      <c r="E419" s="29">
        <v>0</v>
      </c>
      <c r="F419" s="70" t="e">
        <f>D419+E419</f>
        <v>#REF!</v>
      </c>
    </row>
    <row r="420" spans="2:9" ht="24" hidden="1" customHeight="1" x14ac:dyDescent="0.25">
      <c r="C420" s="45" t="s">
        <v>13</v>
      </c>
      <c r="D420" s="29" t="e">
        <f t="shared" si="65"/>
        <v>#REF!</v>
      </c>
      <c r="E420" s="29">
        <v>0</v>
      </c>
      <c r="F420" s="70" t="e">
        <f>D420+E420</f>
        <v>#REF!</v>
      </c>
    </row>
    <row r="421" spans="2:9" ht="24" customHeight="1" thickBot="1" x14ac:dyDescent="0.3"/>
    <row r="422" spans="2:9" ht="24" customHeight="1" thickBot="1" x14ac:dyDescent="0.3">
      <c r="B422" s="383" t="s">
        <v>139</v>
      </c>
      <c r="C422" s="384"/>
      <c r="D422" s="384"/>
      <c r="E422" s="384"/>
      <c r="F422" s="384"/>
      <c r="G422" s="384"/>
      <c r="H422" s="384"/>
      <c r="I422" s="385"/>
    </row>
    <row r="423" spans="2:9" ht="24" hidden="1" customHeight="1" thickBot="1" x14ac:dyDescent="0.3">
      <c r="C423" s="161"/>
      <c r="D423" s="161"/>
      <c r="E423" s="161"/>
      <c r="F423" s="161"/>
      <c r="G423" s="161"/>
    </row>
    <row r="424" spans="2:9" ht="24" hidden="1" customHeight="1" thickBot="1" x14ac:dyDescent="0.3">
      <c r="C424" s="439" t="s">
        <v>154</v>
      </c>
      <c r="D424" s="440"/>
      <c r="E424" s="440"/>
      <c r="F424" s="441"/>
      <c r="G424" s="162"/>
    </row>
    <row r="425" spans="2:9" ht="24" hidden="1" customHeight="1" thickBot="1" x14ac:dyDescent="0.3">
      <c r="C425" s="163" t="s">
        <v>155</v>
      </c>
      <c r="D425" s="164" t="s">
        <v>156</v>
      </c>
      <c r="E425" s="164" t="s">
        <v>157</v>
      </c>
      <c r="F425" s="165" t="s">
        <v>14</v>
      </c>
    </row>
    <row r="426" spans="2:9" ht="24" hidden="1" customHeight="1" x14ac:dyDescent="0.25">
      <c r="C426" s="166" t="s">
        <v>158</v>
      </c>
      <c r="D426" s="167">
        <v>2</v>
      </c>
      <c r="E426" s="168"/>
      <c r="F426" s="169"/>
    </row>
    <row r="427" spans="2:9" ht="24" hidden="1" customHeight="1" x14ac:dyDescent="0.25">
      <c r="C427" s="170" t="s">
        <v>159</v>
      </c>
      <c r="D427" s="171">
        <v>2</v>
      </c>
      <c r="E427" s="172"/>
      <c r="F427" s="173"/>
    </row>
    <row r="428" spans="2:9" ht="24" hidden="1" customHeight="1" x14ac:dyDescent="0.25">
      <c r="C428" s="170" t="s">
        <v>252</v>
      </c>
      <c r="D428" s="171">
        <v>1</v>
      </c>
      <c r="E428" s="172"/>
      <c r="F428" s="173"/>
    </row>
    <row r="429" spans="2:9" ht="24" hidden="1" customHeight="1" x14ac:dyDescent="0.25">
      <c r="C429" s="170" t="s">
        <v>160</v>
      </c>
      <c r="D429" s="171">
        <v>0</v>
      </c>
      <c r="E429" s="174"/>
      <c r="F429" s="173"/>
    </row>
    <row r="430" spans="2:9" ht="24" hidden="1" customHeight="1" x14ac:dyDescent="0.25">
      <c r="C430" s="170" t="s">
        <v>161</v>
      </c>
      <c r="D430" s="171">
        <v>0</v>
      </c>
      <c r="E430" s="174"/>
      <c r="F430" s="173"/>
    </row>
    <row r="431" spans="2:9" ht="24" hidden="1" customHeight="1" x14ac:dyDescent="0.25">
      <c r="C431" s="170" t="s">
        <v>162</v>
      </c>
      <c r="D431" s="171">
        <v>2</v>
      </c>
      <c r="E431" s="174"/>
      <c r="F431" s="173"/>
    </row>
    <row r="432" spans="2:9" ht="24" hidden="1" customHeight="1" x14ac:dyDescent="0.25">
      <c r="C432" s="170" t="s">
        <v>163</v>
      </c>
      <c r="D432" s="171">
        <v>0</v>
      </c>
      <c r="E432" s="174"/>
      <c r="F432" s="173"/>
    </row>
    <row r="433" spans="3:8" ht="24" hidden="1" customHeight="1" thickBot="1" x14ac:dyDescent="0.3">
      <c r="C433" s="175" t="s">
        <v>164</v>
      </c>
      <c r="D433" s="176">
        <v>1</v>
      </c>
      <c r="E433" s="177"/>
      <c r="F433" s="178"/>
    </row>
    <row r="434" spans="3:8" ht="24" hidden="1" customHeight="1" thickBot="1" x14ac:dyDescent="0.3">
      <c r="C434" s="442" t="s">
        <v>170</v>
      </c>
      <c r="D434" s="443"/>
      <c r="E434" s="443"/>
      <c r="F434" s="179">
        <f>SUM(F426:F433)</f>
        <v>0</v>
      </c>
    </row>
    <row r="435" spans="3:8" ht="24" customHeight="1" thickBot="1" x14ac:dyDescent="0.3">
      <c r="C435" s="71"/>
      <c r="D435" s="180"/>
      <c r="E435" s="180"/>
      <c r="F435" s="180"/>
      <c r="G435" s="181"/>
    </row>
    <row r="436" spans="3:8" ht="24" customHeight="1" thickBot="1" x14ac:dyDescent="0.3">
      <c r="C436" s="436" t="s">
        <v>165</v>
      </c>
      <c r="D436" s="437"/>
      <c r="E436" s="438"/>
      <c r="F436" s="182"/>
      <c r="G436" s="182"/>
    </row>
    <row r="437" spans="3:8" ht="24" customHeight="1" thickBot="1" x14ac:dyDescent="0.3">
      <c r="C437" s="163" t="s">
        <v>6</v>
      </c>
      <c r="D437" s="183" t="s">
        <v>130</v>
      </c>
      <c r="E437" s="184" t="s">
        <v>166</v>
      </c>
      <c r="F437" s="182"/>
      <c r="G437" s="182"/>
    </row>
    <row r="438" spans="3:8" ht="24" customHeight="1" x14ac:dyDescent="0.25">
      <c r="C438" s="24" t="s">
        <v>176</v>
      </c>
      <c r="D438" s="185">
        <f>Insumos!H69</f>
        <v>0</v>
      </c>
      <c r="E438" s="186">
        <f t="shared" ref="E438:E443" si="66">D438/12</f>
        <v>0</v>
      </c>
      <c r="F438" s="180"/>
      <c r="G438" s="187"/>
    </row>
    <row r="439" spans="3:8" ht="24" customHeight="1" thickBot="1" x14ac:dyDescent="0.3">
      <c r="C439" s="12" t="s">
        <v>216</v>
      </c>
      <c r="D439" s="188">
        <f>Insumos!H69</f>
        <v>0</v>
      </c>
      <c r="E439" s="189">
        <f t="shared" si="66"/>
        <v>0</v>
      </c>
      <c r="F439" s="180"/>
      <c r="G439" s="187"/>
    </row>
    <row r="440" spans="3:8" ht="24" hidden="1" customHeight="1" x14ac:dyDescent="0.25">
      <c r="C440" s="10" t="s">
        <v>10</v>
      </c>
      <c r="D440" s="190">
        <f>$F$434</f>
        <v>0</v>
      </c>
      <c r="E440" s="191">
        <f t="shared" si="66"/>
        <v>0</v>
      </c>
      <c r="F440" s="180"/>
      <c r="G440" s="187"/>
    </row>
    <row r="441" spans="3:8" ht="24" hidden="1" customHeight="1" x14ac:dyDescent="0.25">
      <c r="C441" s="28" t="s">
        <v>11</v>
      </c>
      <c r="D441" s="192">
        <f>$F$434</f>
        <v>0</v>
      </c>
      <c r="E441" s="193">
        <f t="shared" si="66"/>
        <v>0</v>
      </c>
      <c r="F441" s="180"/>
      <c r="G441" s="187"/>
    </row>
    <row r="442" spans="3:8" ht="24" hidden="1" customHeight="1" x14ac:dyDescent="0.25">
      <c r="C442" s="28" t="s">
        <v>12</v>
      </c>
      <c r="D442" s="192">
        <f>$F$434</f>
        <v>0</v>
      </c>
      <c r="E442" s="193">
        <f t="shared" si="66"/>
        <v>0</v>
      </c>
      <c r="F442" s="180"/>
      <c r="G442" s="187"/>
    </row>
    <row r="443" spans="3:8" ht="24" hidden="1" customHeight="1" thickBot="1" x14ac:dyDescent="0.3">
      <c r="C443" s="12" t="s">
        <v>13</v>
      </c>
      <c r="D443" s="188">
        <f>$F$434</f>
        <v>0</v>
      </c>
      <c r="E443" s="189">
        <f t="shared" si="66"/>
        <v>0</v>
      </c>
      <c r="F443" s="180"/>
      <c r="G443" s="187"/>
    </row>
    <row r="444" spans="3:8" ht="24" customHeight="1" thickBot="1" x14ac:dyDescent="0.3">
      <c r="C444" s="71"/>
      <c r="D444" s="180"/>
      <c r="E444" s="180"/>
      <c r="F444" s="180"/>
      <c r="G444" s="71"/>
    </row>
    <row r="445" spans="3:8" ht="24" customHeight="1" thickBot="1" x14ac:dyDescent="0.3">
      <c r="C445" s="390" t="s">
        <v>181</v>
      </c>
      <c r="D445" s="391"/>
      <c r="E445" s="391"/>
      <c r="F445" s="391"/>
      <c r="G445" s="392"/>
      <c r="H445" s="194"/>
    </row>
    <row r="446" spans="3:8" ht="24" customHeight="1" thickBot="1" x14ac:dyDescent="0.3">
      <c r="C446" s="195" t="s">
        <v>167</v>
      </c>
      <c r="D446" s="196" t="s">
        <v>182</v>
      </c>
      <c r="E446" s="197" t="s">
        <v>183</v>
      </c>
      <c r="F446" s="197" t="s">
        <v>184</v>
      </c>
      <c r="G446" s="23" t="s">
        <v>14</v>
      </c>
    </row>
    <row r="447" spans="3:8" ht="24" customHeight="1" x14ac:dyDescent="0.25">
      <c r="C447" s="24" t="s">
        <v>176</v>
      </c>
      <c r="D447" s="185">
        <f>I55+G235+G335+F415+E438</f>
        <v>693.05678804130775</v>
      </c>
      <c r="E447" s="198">
        <f>Insumos!H36</f>
        <v>0</v>
      </c>
      <c r="F447" s="198">
        <f>E447*9.25%</f>
        <v>0</v>
      </c>
      <c r="G447" s="199">
        <f>E447-F447</f>
        <v>0</v>
      </c>
    </row>
    <row r="448" spans="3:8" ht="24" customHeight="1" thickBot="1" x14ac:dyDescent="0.3">
      <c r="C448" s="12" t="s">
        <v>216</v>
      </c>
      <c r="D448" s="188">
        <f>I56+G236+G336+F416+E439</f>
        <v>693.05678804130775</v>
      </c>
      <c r="E448" s="200">
        <f>3668.10583333333/12</f>
        <v>305.67548611111084</v>
      </c>
      <c r="F448" s="200">
        <f>E448*9.25%</f>
        <v>28.274982465277752</v>
      </c>
      <c r="G448" s="201">
        <f>E448-F448</f>
        <v>277.40050364583311</v>
      </c>
    </row>
    <row r="449" spans="3:8" ht="24" hidden="1" customHeight="1" thickBot="1" x14ac:dyDescent="0.3">
      <c r="C449" s="17" t="s">
        <v>10</v>
      </c>
      <c r="D449" s="202" t="e">
        <f>#REF!</f>
        <v>#REF!</v>
      </c>
      <c r="E449" s="202" t="e">
        <f>D449/12</f>
        <v>#REF!</v>
      </c>
      <c r="F449" s="203" t="e">
        <f>E449/1</f>
        <v>#REF!</v>
      </c>
    </row>
    <row r="450" spans="3:8" ht="24" hidden="1" customHeight="1" x14ac:dyDescent="0.25">
      <c r="C450" s="10" t="s">
        <v>11</v>
      </c>
      <c r="D450" s="190" t="e">
        <f>#REF!</f>
        <v>#REF!</v>
      </c>
      <c r="E450" s="190" t="e">
        <f>D450/12</f>
        <v>#REF!</v>
      </c>
      <c r="F450" s="204" t="e">
        <f>E450/4</f>
        <v>#REF!</v>
      </c>
    </row>
    <row r="451" spans="3:8" ht="24" hidden="1" customHeight="1" x14ac:dyDescent="0.25">
      <c r="C451" s="28" t="s">
        <v>12</v>
      </c>
      <c r="D451" s="192" t="e">
        <f>#REF!</f>
        <v>#REF!</v>
      </c>
      <c r="E451" s="192" t="e">
        <f>D451/12</f>
        <v>#REF!</v>
      </c>
      <c r="F451" s="205" t="e">
        <f>E451/4</f>
        <v>#REF!</v>
      </c>
    </row>
    <row r="452" spans="3:8" ht="24" hidden="1" customHeight="1" thickBot="1" x14ac:dyDescent="0.3">
      <c r="C452" s="12" t="s">
        <v>13</v>
      </c>
      <c r="D452" s="188" t="e">
        <f>#REF!</f>
        <v>#REF!</v>
      </c>
      <c r="E452" s="188" t="e">
        <f>D452/12</f>
        <v>#REF!</v>
      </c>
      <c r="F452" s="206" t="e">
        <f>E452/1</f>
        <v>#REF!</v>
      </c>
    </row>
    <row r="453" spans="3:8" ht="24" customHeight="1" thickBot="1" x14ac:dyDescent="0.3">
      <c r="C453" s="71"/>
      <c r="D453" s="180"/>
      <c r="E453" s="180"/>
      <c r="F453" s="180"/>
      <c r="G453" s="71"/>
    </row>
    <row r="454" spans="3:8" ht="24" customHeight="1" thickBot="1" x14ac:dyDescent="0.3">
      <c r="C454" s="390" t="s">
        <v>218</v>
      </c>
      <c r="D454" s="391"/>
      <c r="E454" s="391"/>
      <c r="F454" s="391"/>
      <c r="G454" s="392"/>
      <c r="H454" s="194"/>
    </row>
    <row r="455" spans="3:8" ht="24" customHeight="1" thickBot="1" x14ac:dyDescent="0.3">
      <c r="C455" s="195" t="s">
        <v>167</v>
      </c>
      <c r="D455" s="196" t="s">
        <v>182</v>
      </c>
      <c r="E455" s="197" t="s">
        <v>183</v>
      </c>
      <c r="F455" s="197" t="s">
        <v>184</v>
      </c>
      <c r="G455" s="23" t="s">
        <v>14</v>
      </c>
    </row>
    <row r="456" spans="3:8" ht="24" customHeight="1" x14ac:dyDescent="0.25">
      <c r="C456" s="24" t="s">
        <v>176</v>
      </c>
      <c r="D456" s="185">
        <f>D447</f>
        <v>693.05678804130775</v>
      </c>
      <c r="E456" s="198">
        <f>Insumos!H50</f>
        <v>0</v>
      </c>
      <c r="F456" s="198">
        <f>E456*9.25%</f>
        <v>0</v>
      </c>
      <c r="G456" s="199">
        <f>E456-F456</f>
        <v>0</v>
      </c>
    </row>
    <row r="457" spans="3:8" ht="24" customHeight="1" thickBot="1" x14ac:dyDescent="0.3">
      <c r="C457" s="12" t="s">
        <v>216</v>
      </c>
      <c r="D457" s="188">
        <f>D448</f>
        <v>693.05678804130775</v>
      </c>
      <c r="E457" s="200">
        <f>Insumos!H50</f>
        <v>0</v>
      </c>
      <c r="F457" s="200">
        <f>E457*9.25%</f>
        <v>0</v>
      </c>
      <c r="G457" s="201">
        <f>E457-F457</f>
        <v>0</v>
      </c>
    </row>
    <row r="458" spans="3:8" ht="24" hidden="1" customHeight="1" x14ac:dyDescent="0.25">
      <c r="C458" s="17" t="s">
        <v>10</v>
      </c>
      <c r="D458" s="202" t="e">
        <f>#REF!</f>
        <v>#REF!</v>
      </c>
      <c r="E458" s="202" t="e">
        <f>D458/12</f>
        <v>#REF!</v>
      </c>
      <c r="F458" s="203" t="e">
        <f>E458/1</f>
        <v>#REF!</v>
      </c>
    </row>
    <row r="459" spans="3:8" ht="24" hidden="1" customHeight="1" x14ac:dyDescent="0.25">
      <c r="C459" s="10" t="s">
        <v>11</v>
      </c>
      <c r="D459" s="190" t="e">
        <f>#REF!</f>
        <v>#REF!</v>
      </c>
      <c r="E459" s="190" t="e">
        <f>D459/12</f>
        <v>#REF!</v>
      </c>
      <c r="F459" s="204" t="e">
        <f>E459/4</f>
        <v>#REF!</v>
      </c>
    </row>
    <row r="460" spans="3:8" ht="24" hidden="1" customHeight="1" x14ac:dyDescent="0.25">
      <c r="C460" s="28" t="s">
        <v>12</v>
      </c>
      <c r="D460" s="192" t="e">
        <f>#REF!</f>
        <v>#REF!</v>
      </c>
      <c r="E460" s="192" t="e">
        <f>D460/12</f>
        <v>#REF!</v>
      </c>
      <c r="F460" s="205" t="e">
        <f>E460/4</f>
        <v>#REF!</v>
      </c>
    </row>
    <row r="461" spans="3:8" ht="24" hidden="1" customHeight="1" x14ac:dyDescent="0.25">
      <c r="C461" s="12" t="s">
        <v>13</v>
      </c>
      <c r="D461" s="188" t="e">
        <f>#REF!</f>
        <v>#REF!</v>
      </c>
      <c r="E461" s="188" t="e">
        <f>D461/12</f>
        <v>#REF!</v>
      </c>
      <c r="F461" s="206" t="e">
        <f>E461/1</f>
        <v>#REF!</v>
      </c>
    </row>
    <row r="462" spans="3:8" ht="24" customHeight="1" thickBot="1" x14ac:dyDescent="0.3">
      <c r="C462" s="71"/>
      <c r="D462" s="180"/>
      <c r="E462" s="180"/>
      <c r="F462" s="180"/>
      <c r="G462" s="71"/>
    </row>
    <row r="463" spans="3:8" ht="24" customHeight="1" thickBot="1" x14ac:dyDescent="0.3">
      <c r="C463" s="390" t="s">
        <v>250</v>
      </c>
      <c r="D463" s="391"/>
      <c r="E463" s="391"/>
      <c r="F463" s="391"/>
      <c r="G463" s="392"/>
      <c r="H463" s="194"/>
    </row>
    <row r="464" spans="3:8" ht="24" customHeight="1" thickBot="1" x14ac:dyDescent="0.3">
      <c r="C464" s="195" t="s">
        <v>167</v>
      </c>
      <c r="D464" s="196" t="s">
        <v>182</v>
      </c>
      <c r="E464" s="197" t="s">
        <v>183</v>
      </c>
      <c r="F464" s="197" t="s">
        <v>184</v>
      </c>
      <c r="G464" s="23" t="s">
        <v>14</v>
      </c>
    </row>
    <row r="465" spans="3:8" ht="24" customHeight="1" x14ac:dyDescent="0.25">
      <c r="C465" s="24" t="s">
        <v>176</v>
      </c>
      <c r="D465" s="185">
        <f>D447</f>
        <v>693.05678804130775</v>
      </c>
      <c r="E465" s="198">
        <f>Insumos!H59</f>
        <v>0</v>
      </c>
      <c r="F465" s="198">
        <f>E465*9.25%</f>
        <v>0</v>
      </c>
      <c r="G465" s="199">
        <f>E465-F465</f>
        <v>0</v>
      </c>
    </row>
    <row r="466" spans="3:8" ht="24" customHeight="1" thickBot="1" x14ac:dyDescent="0.3">
      <c r="C466" s="12" t="s">
        <v>216</v>
      </c>
      <c r="D466" s="188">
        <f>D448</f>
        <v>693.05678804130775</v>
      </c>
      <c r="E466" s="200">
        <f>Insumos!H59</f>
        <v>0</v>
      </c>
      <c r="F466" s="200">
        <f>E466*9.25%</f>
        <v>0</v>
      </c>
      <c r="G466" s="201">
        <f>E466-F466</f>
        <v>0</v>
      </c>
    </row>
    <row r="467" spans="3:8" ht="24" hidden="1" customHeight="1" x14ac:dyDescent="0.25">
      <c r="C467" s="17" t="s">
        <v>10</v>
      </c>
      <c r="D467" s="202" t="e">
        <f>#REF!</f>
        <v>#REF!</v>
      </c>
      <c r="E467" s="202" t="e">
        <f>D467/12</f>
        <v>#REF!</v>
      </c>
      <c r="F467" s="203" t="e">
        <f>E467/1</f>
        <v>#REF!</v>
      </c>
    </row>
    <row r="468" spans="3:8" ht="24" hidden="1" customHeight="1" x14ac:dyDescent="0.25">
      <c r="C468" s="10" t="s">
        <v>11</v>
      </c>
      <c r="D468" s="190" t="e">
        <f>#REF!</f>
        <v>#REF!</v>
      </c>
      <c r="E468" s="190" t="e">
        <f>D468/12</f>
        <v>#REF!</v>
      </c>
      <c r="F468" s="204" t="e">
        <f>E468/4</f>
        <v>#REF!</v>
      </c>
    </row>
    <row r="469" spans="3:8" ht="24" hidden="1" customHeight="1" x14ac:dyDescent="0.25">
      <c r="C469" s="28" t="s">
        <v>12</v>
      </c>
      <c r="D469" s="192" t="e">
        <f>#REF!</f>
        <v>#REF!</v>
      </c>
      <c r="E469" s="192" t="e">
        <f>D469/12</f>
        <v>#REF!</v>
      </c>
      <c r="F469" s="205" t="e">
        <f>E469/4</f>
        <v>#REF!</v>
      </c>
    </row>
    <row r="470" spans="3:8" ht="24" hidden="1" customHeight="1" x14ac:dyDescent="0.25">
      <c r="C470" s="12" t="s">
        <v>13</v>
      </c>
      <c r="D470" s="188" t="e">
        <f>#REF!</f>
        <v>#REF!</v>
      </c>
      <c r="E470" s="188" t="e">
        <f>D470/12</f>
        <v>#REF!</v>
      </c>
      <c r="F470" s="206" t="e">
        <f>E470/1</f>
        <v>#REF!</v>
      </c>
    </row>
    <row r="471" spans="3:8" ht="24" customHeight="1" thickBot="1" x14ac:dyDescent="0.3"/>
    <row r="472" spans="3:8" ht="24" customHeight="1" thickBot="1" x14ac:dyDescent="0.3">
      <c r="C472" s="436" t="s">
        <v>168</v>
      </c>
      <c r="D472" s="437"/>
      <c r="E472" s="437"/>
      <c r="F472" s="437"/>
      <c r="G472" s="437"/>
      <c r="H472" s="438"/>
    </row>
    <row r="473" spans="3:8" ht="24" customHeight="1" thickBot="1" x14ac:dyDescent="0.3">
      <c r="C473" s="163" t="s">
        <v>6</v>
      </c>
      <c r="D473" s="183" t="s">
        <v>169</v>
      </c>
      <c r="E473" s="183" t="s">
        <v>185</v>
      </c>
      <c r="F473" s="183" t="s">
        <v>219</v>
      </c>
      <c r="G473" s="183" t="s">
        <v>251</v>
      </c>
      <c r="H473" s="184" t="s">
        <v>14</v>
      </c>
    </row>
    <row r="474" spans="3:8" ht="24" customHeight="1" x14ac:dyDescent="0.25">
      <c r="C474" s="24" t="s">
        <v>176</v>
      </c>
      <c r="D474" s="207">
        <f t="shared" ref="D474:D479" si="67">E438</f>
        <v>0</v>
      </c>
      <c r="E474" s="207">
        <f>G447</f>
        <v>0</v>
      </c>
      <c r="F474" s="207">
        <f>G456</f>
        <v>0</v>
      </c>
      <c r="G474" s="207">
        <f>G465</f>
        <v>0</v>
      </c>
      <c r="H474" s="208">
        <f>SUM(D474:G474)</f>
        <v>0</v>
      </c>
    </row>
    <row r="475" spans="3:8" ht="24" customHeight="1" thickBot="1" x14ac:dyDescent="0.3">
      <c r="C475" s="12" t="s">
        <v>216</v>
      </c>
      <c r="D475" s="209">
        <f t="shared" si="67"/>
        <v>0</v>
      </c>
      <c r="E475" s="209">
        <f>G448</f>
        <v>277.40050364583311</v>
      </c>
      <c r="F475" s="209">
        <f>G457</f>
        <v>0</v>
      </c>
      <c r="G475" s="209">
        <f>G466</f>
        <v>0</v>
      </c>
      <c r="H475" s="210">
        <f>SUM(D475:G475)</f>
        <v>277.40050364583311</v>
      </c>
    </row>
    <row r="476" spans="3:8" ht="24" hidden="1" customHeight="1" x14ac:dyDescent="0.25">
      <c r="C476" s="10" t="s">
        <v>10</v>
      </c>
      <c r="D476" s="211">
        <f t="shared" si="67"/>
        <v>0</v>
      </c>
      <c r="E476" s="211" t="e">
        <f>F449</f>
        <v>#REF!</v>
      </c>
      <c r="F476" s="212" t="e">
        <f>SUM(D476:E476)</f>
        <v>#REF!</v>
      </c>
    </row>
    <row r="477" spans="3:8" ht="24" hidden="1" customHeight="1" x14ac:dyDescent="0.25">
      <c r="C477" s="28" t="s">
        <v>11</v>
      </c>
      <c r="D477" s="213">
        <f t="shared" si="67"/>
        <v>0</v>
      </c>
      <c r="E477" s="213" t="e">
        <f>F450</f>
        <v>#REF!</v>
      </c>
      <c r="F477" s="214" t="e">
        <f>SUM(D477:E477)</f>
        <v>#REF!</v>
      </c>
    </row>
    <row r="478" spans="3:8" ht="24" hidden="1" customHeight="1" x14ac:dyDescent="0.25">
      <c r="C478" s="28" t="s">
        <v>12</v>
      </c>
      <c r="D478" s="213">
        <f t="shared" si="67"/>
        <v>0</v>
      </c>
      <c r="E478" s="213" t="e">
        <f>F451</f>
        <v>#REF!</v>
      </c>
      <c r="F478" s="214" t="e">
        <f>SUM(D478:E478)</f>
        <v>#REF!</v>
      </c>
    </row>
    <row r="479" spans="3:8" ht="24" hidden="1" customHeight="1" thickBot="1" x14ac:dyDescent="0.3">
      <c r="C479" s="12" t="s">
        <v>13</v>
      </c>
      <c r="D479" s="209">
        <f t="shared" si="67"/>
        <v>0</v>
      </c>
      <c r="E479" s="209" t="e">
        <f>F452</f>
        <v>#REF!</v>
      </c>
      <c r="F479" s="210" t="e">
        <f>SUM(D479:E479)</f>
        <v>#REF!</v>
      </c>
    </row>
    <row r="480" spans="3:8" ht="24" customHeight="1" thickBot="1" x14ac:dyDescent="0.3"/>
    <row r="481" spans="2:11" ht="24" customHeight="1" thickBot="1" x14ac:dyDescent="0.3">
      <c r="B481" s="383" t="s">
        <v>140</v>
      </c>
      <c r="C481" s="384"/>
      <c r="D481" s="384"/>
      <c r="E481" s="384"/>
      <c r="F481" s="384"/>
      <c r="G481" s="384"/>
      <c r="H481" s="384"/>
      <c r="I481" s="385"/>
      <c r="J481" s="9"/>
    </row>
    <row r="482" spans="2:11" ht="24" customHeight="1" thickBot="1" x14ac:dyDescent="0.3"/>
    <row r="483" spans="2:11" ht="24" customHeight="1" thickBot="1" x14ac:dyDescent="0.3">
      <c r="C483" s="398" t="s">
        <v>140</v>
      </c>
      <c r="D483" s="410"/>
      <c r="E483" s="410"/>
      <c r="F483" s="399"/>
    </row>
    <row r="484" spans="2:11" ht="24" customHeight="1" thickBot="1" x14ac:dyDescent="0.3">
      <c r="C484" s="51" t="s">
        <v>6</v>
      </c>
      <c r="D484" s="52" t="s">
        <v>2</v>
      </c>
      <c r="E484" s="52" t="s">
        <v>3</v>
      </c>
      <c r="F484" s="53" t="s">
        <v>14</v>
      </c>
    </row>
    <row r="485" spans="2:11" ht="24" customHeight="1" x14ac:dyDescent="0.25">
      <c r="C485" s="24" t="s">
        <v>176</v>
      </c>
      <c r="D485" s="25">
        <f>SUM(I55,G235,G335,F415,H474)</f>
        <v>693.05678804130775</v>
      </c>
      <c r="E485" s="54">
        <v>0.30449999999999999</v>
      </c>
      <c r="F485" s="27">
        <f t="shared" ref="F485:F486" si="68">D485*E485</f>
        <v>211.03579195857822</v>
      </c>
      <c r="G485" s="393"/>
      <c r="H485" s="393"/>
      <c r="I485" s="393"/>
      <c r="J485" s="393"/>
      <c r="K485" s="393"/>
    </row>
    <row r="486" spans="2:11" ht="24" customHeight="1" thickBot="1" x14ac:dyDescent="0.3">
      <c r="C486" s="12" t="s">
        <v>216</v>
      </c>
      <c r="D486" s="36">
        <f>SUM(I56,G236,G336,F416,H475)</f>
        <v>970.45729168714092</v>
      </c>
      <c r="E486" s="55">
        <v>0.30449999999999999</v>
      </c>
      <c r="F486" s="13">
        <f t="shared" si="68"/>
        <v>295.50424531873438</v>
      </c>
    </row>
    <row r="487" spans="2:11" ht="24" customHeight="1" thickBot="1" x14ac:dyDescent="0.3">
      <c r="C487" s="71"/>
      <c r="D487" s="87"/>
      <c r="E487" s="223"/>
      <c r="F487" s="88"/>
      <c r="G487" s="394"/>
      <c r="H487" s="394"/>
      <c r="I487" s="394"/>
      <c r="J487" s="394"/>
      <c r="K487" s="394"/>
    </row>
    <row r="488" spans="2:11" ht="24" customHeight="1" thickBot="1" x14ac:dyDescent="0.3">
      <c r="B488" s="383" t="s">
        <v>149</v>
      </c>
      <c r="C488" s="384"/>
      <c r="D488" s="384"/>
      <c r="E488" s="384"/>
      <c r="F488" s="384"/>
      <c r="G488" s="384"/>
      <c r="H488" s="384"/>
      <c r="I488" s="385"/>
      <c r="J488" s="9"/>
    </row>
    <row r="489" spans="2:11" ht="24" customHeight="1" thickBot="1" x14ac:dyDescent="0.3"/>
    <row r="490" spans="2:11" ht="24" customHeight="1" x14ac:dyDescent="0.25">
      <c r="C490" s="387" t="s">
        <v>149</v>
      </c>
      <c r="D490" s="388"/>
      <c r="E490" s="389"/>
      <c r="F490" s="114"/>
    </row>
    <row r="491" spans="2:11" ht="39" customHeight="1" x14ac:dyDescent="0.25">
      <c r="C491" s="215" t="s">
        <v>141</v>
      </c>
      <c r="D491" s="92" t="s">
        <v>176</v>
      </c>
      <c r="E491" s="140" t="s">
        <v>216</v>
      </c>
      <c r="F491" s="216"/>
    </row>
    <row r="492" spans="2:11" ht="24" customHeight="1" x14ac:dyDescent="0.25">
      <c r="C492" s="97" t="s">
        <v>142</v>
      </c>
      <c r="D492" s="29">
        <f>I55</f>
        <v>0</v>
      </c>
      <c r="E492" s="217">
        <f>I56</f>
        <v>0</v>
      </c>
      <c r="F492" s="218"/>
    </row>
    <row r="493" spans="2:11" ht="24" customHeight="1" x14ac:dyDescent="0.25">
      <c r="C493" s="97" t="s">
        <v>143</v>
      </c>
      <c r="D493" s="29">
        <f>G235</f>
        <v>599.20000000000005</v>
      </c>
      <c r="E493" s="217">
        <f>G236</f>
        <v>599.20000000000005</v>
      </c>
      <c r="F493" s="218"/>
    </row>
    <row r="494" spans="2:11" ht="24" customHeight="1" x14ac:dyDescent="0.25">
      <c r="C494" s="97" t="s">
        <v>144</v>
      </c>
      <c r="D494" s="29">
        <f>G335</f>
        <v>41.874093333333334</v>
      </c>
      <c r="E494" s="217">
        <f>G336</f>
        <v>41.874093333333334</v>
      </c>
      <c r="F494" s="218"/>
    </row>
    <row r="495" spans="2:11" ht="30" x14ac:dyDescent="0.25">
      <c r="C495" s="97" t="s">
        <v>145</v>
      </c>
      <c r="D495" s="29">
        <f>F415</f>
        <v>51.982694707974389</v>
      </c>
      <c r="E495" s="217">
        <f>F416</f>
        <v>51.982694707974389</v>
      </c>
      <c r="F495" s="218"/>
    </row>
    <row r="496" spans="2:11" ht="24" customHeight="1" x14ac:dyDescent="0.25">
      <c r="C496" s="97" t="s">
        <v>146</v>
      </c>
      <c r="D496" s="29">
        <f>H474</f>
        <v>0</v>
      </c>
      <c r="E496" s="217">
        <f>H475</f>
        <v>277.40050364583311</v>
      </c>
      <c r="F496" s="218"/>
    </row>
    <row r="497" spans="3:6" ht="30" x14ac:dyDescent="0.25">
      <c r="C497" s="97" t="s">
        <v>147</v>
      </c>
      <c r="D497" s="29">
        <f>F485</f>
        <v>211.03579195857822</v>
      </c>
      <c r="E497" s="217">
        <f>F486</f>
        <v>295.50424531873438</v>
      </c>
      <c r="F497" s="218"/>
    </row>
    <row r="498" spans="3:6" ht="24" customHeight="1" thickBot="1" x14ac:dyDescent="0.3">
      <c r="C498" s="154" t="s">
        <v>148</v>
      </c>
      <c r="D498" s="219">
        <f>SUM(D492:D497)</f>
        <v>904.09257999988597</v>
      </c>
      <c r="E498" s="220">
        <f>SUM(E492:E497)</f>
        <v>1265.9615370058752</v>
      </c>
      <c r="F498" s="221"/>
    </row>
    <row r="499" spans="3:6" ht="24" customHeight="1" x14ac:dyDescent="0.25">
      <c r="C499" s="222"/>
    </row>
    <row r="500" spans="3:6" ht="24" customHeight="1" x14ac:dyDescent="0.25">
      <c r="C500" s="222"/>
    </row>
    <row r="501" spans="3:6" ht="24" customHeight="1" x14ac:dyDescent="0.25">
      <c r="C501" s="222"/>
      <c r="D501" s="411"/>
      <c r="E501" s="411"/>
    </row>
  </sheetData>
  <mergeCells count="112">
    <mergeCell ref="C483:F483"/>
    <mergeCell ref="C436:E436"/>
    <mergeCell ref="C424:F424"/>
    <mergeCell ref="C434:E434"/>
    <mergeCell ref="C378:J378"/>
    <mergeCell ref="C380:F380"/>
    <mergeCell ref="C389:G389"/>
    <mergeCell ref="C397:J397"/>
    <mergeCell ref="C399:F399"/>
    <mergeCell ref="C405:F405"/>
    <mergeCell ref="C411:J411"/>
    <mergeCell ref="C413:F413"/>
    <mergeCell ref="C463:G463"/>
    <mergeCell ref="C454:G454"/>
    <mergeCell ref="C472:H472"/>
    <mergeCell ref="E250:F250"/>
    <mergeCell ref="E247:F247"/>
    <mergeCell ref="E248:F248"/>
    <mergeCell ref="B242:I242"/>
    <mergeCell ref="B342:I342"/>
    <mergeCell ref="C346:C347"/>
    <mergeCell ref="D346:D347"/>
    <mergeCell ref="E346:E347"/>
    <mergeCell ref="F346:G346"/>
    <mergeCell ref="G293:I305"/>
    <mergeCell ref="B3:I3"/>
    <mergeCell ref="C121:F121"/>
    <mergeCell ref="C51:J51"/>
    <mergeCell ref="C53:I53"/>
    <mergeCell ref="C64:J64"/>
    <mergeCell ref="C66:F66"/>
    <mergeCell ref="C75:G75"/>
    <mergeCell ref="C84:F84"/>
    <mergeCell ref="C93:G93"/>
    <mergeCell ref="C98:J98"/>
    <mergeCell ref="C100:D100"/>
    <mergeCell ref="C112:F112"/>
    <mergeCell ref="E104:G104"/>
    <mergeCell ref="F107:H108"/>
    <mergeCell ref="B62:I62"/>
    <mergeCell ref="C362:C363"/>
    <mergeCell ref="B422:I422"/>
    <mergeCell ref="B481:I481"/>
    <mergeCell ref="C143:G143"/>
    <mergeCell ref="C152:G152"/>
    <mergeCell ref="C161:F161"/>
    <mergeCell ref="C170:J170"/>
    <mergeCell ref="C172:F172"/>
    <mergeCell ref="C181:F181"/>
    <mergeCell ref="C190:F190"/>
    <mergeCell ref="C199:J199"/>
    <mergeCell ref="I145:L146"/>
    <mergeCell ref="I144:L144"/>
    <mergeCell ref="I147:L149"/>
    <mergeCell ref="D362:F362"/>
    <mergeCell ref="C345:G345"/>
    <mergeCell ref="C210:J210"/>
    <mergeCell ref="C231:J231"/>
    <mergeCell ref="C233:G233"/>
    <mergeCell ref="C244:D244"/>
    <mergeCell ref="C253:J253"/>
    <mergeCell ref="C255:F255"/>
    <mergeCell ref="E246:F246"/>
    <mergeCell ref="E249:F249"/>
    <mergeCell ref="C130:F130"/>
    <mergeCell ref="C139:J139"/>
    <mergeCell ref="C141:J141"/>
    <mergeCell ref="D501:E501"/>
    <mergeCell ref="G256:J256"/>
    <mergeCell ref="G267:K267"/>
    <mergeCell ref="G266:K266"/>
    <mergeCell ref="H335:N336"/>
    <mergeCell ref="H338:N338"/>
    <mergeCell ref="H340:N340"/>
    <mergeCell ref="C344:G344"/>
    <mergeCell ref="C273:F273"/>
    <mergeCell ref="C264:F264"/>
    <mergeCell ref="C282:J282"/>
    <mergeCell ref="C284:F284"/>
    <mergeCell ref="C293:F293"/>
    <mergeCell ref="C302:F302"/>
    <mergeCell ref="C311:J311"/>
    <mergeCell ref="C313:G313"/>
    <mergeCell ref="C322:F322"/>
    <mergeCell ref="C331:J331"/>
    <mergeCell ref="C333:G333"/>
    <mergeCell ref="H346:I346"/>
    <mergeCell ref="C361:F361"/>
    <mergeCell ref="C212:G212"/>
    <mergeCell ref="G223:H223"/>
    <mergeCell ref="G224:H224"/>
    <mergeCell ref="G225:H225"/>
    <mergeCell ref="C222:I222"/>
    <mergeCell ref="B488:I488"/>
    <mergeCell ref="B1:I1"/>
    <mergeCell ref="C490:E490"/>
    <mergeCell ref="C445:G445"/>
    <mergeCell ref="G485:K485"/>
    <mergeCell ref="G487:K487"/>
    <mergeCell ref="C42:F42"/>
    <mergeCell ref="C5:D5"/>
    <mergeCell ref="C9:G9"/>
    <mergeCell ref="C13:J13"/>
    <mergeCell ref="C15:F15"/>
    <mergeCell ref="C24:J24"/>
    <mergeCell ref="C26:G26"/>
    <mergeCell ref="C30:G30"/>
    <mergeCell ref="C35:F35"/>
    <mergeCell ref="C40:J40"/>
    <mergeCell ref="H9:J11"/>
    <mergeCell ref="H14:J15"/>
    <mergeCell ref="C201:F201"/>
  </mergeCells>
  <conditionalFormatting sqref="C183">
    <cfRule type="duplicateValues" dxfId="64" priority="30"/>
  </conditionalFormatting>
  <conditionalFormatting sqref="C192">
    <cfRule type="duplicateValues" dxfId="63" priority="29"/>
  </conditionalFormatting>
  <conditionalFormatting sqref="C203">
    <cfRule type="duplicateValues" dxfId="62" priority="28"/>
  </conditionalFormatting>
  <conditionalFormatting sqref="C214">
    <cfRule type="duplicateValues" dxfId="61" priority="27"/>
  </conditionalFormatting>
  <conditionalFormatting sqref="C224">
    <cfRule type="duplicateValues" dxfId="60" priority="26"/>
  </conditionalFormatting>
  <conditionalFormatting sqref="C235">
    <cfRule type="duplicateValues" dxfId="59" priority="25"/>
  </conditionalFormatting>
  <conditionalFormatting sqref="C257">
    <cfRule type="duplicateValues" dxfId="58" priority="24"/>
  </conditionalFormatting>
  <conditionalFormatting sqref="C266">
    <cfRule type="duplicateValues" dxfId="57" priority="23"/>
  </conditionalFormatting>
  <conditionalFormatting sqref="C275">
    <cfRule type="duplicateValues" dxfId="56" priority="22"/>
  </conditionalFormatting>
  <conditionalFormatting sqref="C286">
    <cfRule type="duplicateValues" dxfId="55" priority="21"/>
  </conditionalFormatting>
  <conditionalFormatting sqref="C295">
    <cfRule type="duplicateValues" dxfId="54" priority="20"/>
  </conditionalFormatting>
  <conditionalFormatting sqref="C304">
    <cfRule type="duplicateValues" dxfId="53" priority="19"/>
  </conditionalFormatting>
  <conditionalFormatting sqref="C315">
    <cfRule type="duplicateValues" dxfId="52" priority="18"/>
  </conditionalFormatting>
  <conditionalFormatting sqref="C324">
    <cfRule type="duplicateValues" dxfId="51" priority="17"/>
  </conditionalFormatting>
  <conditionalFormatting sqref="C335">
    <cfRule type="duplicateValues" dxfId="50" priority="16"/>
  </conditionalFormatting>
  <conditionalFormatting sqref="C382">
    <cfRule type="duplicateValues" dxfId="49" priority="15"/>
  </conditionalFormatting>
  <conditionalFormatting sqref="C391">
    <cfRule type="duplicateValues" dxfId="48" priority="14"/>
  </conditionalFormatting>
  <conditionalFormatting sqref="C401:C402">
    <cfRule type="duplicateValues" dxfId="47" priority="13"/>
  </conditionalFormatting>
  <conditionalFormatting sqref="C407:C408">
    <cfRule type="duplicateValues" dxfId="46" priority="12"/>
  </conditionalFormatting>
  <conditionalFormatting sqref="C415">
    <cfRule type="duplicateValues" dxfId="45" priority="11"/>
  </conditionalFormatting>
  <conditionalFormatting sqref="C438">
    <cfRule type="duplicateValues" dxfId="44" priority="10"/>
  </conditionalFormatting>
  <conditionalFormatting sqref="C474">
    <cfRule type="duplicateValues" dxfId="43" priority="8"/>
  </conditionalFormatting>
  <conditionalFormatting sqref="C485">
    <cfRule type="duplicateValues" dxfId="42" priority="7"/>
  </conditionalFormatting>
  <conditionalFormatting sqref="C447">
    <cfRule type="duplicateValues" dxfId="41" priority="5"/>
  </conditionalFormatting>
  <conditionalFormatting sqref="C465">
    <cfRule type="duplicateValues" dxfId="40" priority="4"/>
  </conditionalFormatting>
  <conditionalFormatting sqref="C456">
    <cfRule type="duplicateValues" dxfId="39" priority="3"/>
  </conditionalFormatting>
  <printOptions horizontalCentered="1"/>
  <pageMargins left="0.31496062992125984" right="0.31496062992125984" top="0.39370078740157483" bottom="0.39370078740157483" header="0.31496062992125984" footer="0.31496062992125984"/>
  <pageSetup paperSize="9" scale="62" orientation="portrait" r:id="rId1"/>
  <rowBreaks count="7" manualBreakCount="7">
    <brk id="97" max="8" man="1"/>
    <brk id="169" max="8" man="1"/>
    <brk id="236" max="8" man="1"/>
    <brk id="310" max="8" man="1"/>
    <brk id="359" max="8" man="1"/>
    <brk id="421" max="8" man="1"/>
    <brk id="499" min="2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view="pageBreakPreview" topLeftCell="A98" zoomScale="85" zoomScaleNormal="100" zoomScaleSheetLayoutView="85" workbookViewId="0">
      <selection activeCell="C98" sqref="C97:C98"/>
    </sheetView>
  </sheetViews>
  <sheetFormatPr defaultRowHeight="15" x14ac:dyDescent="0.25"/>
  <cols>
    <col min="1" max="1" width="17.140625" customWidth="1"/>
    <col min="2" max="2" width="16.5703125" customWidth="1"/>
    <col min="3" max="3" width="18.85546875" customWidth="1"/>
    <col min="4" max="4" width="17.85546875" customWidth="1"/>
    <col min="5" max="5" width="15" customWidth="1"/>
    <col min="6" max="6" width="12.85546875" customWidth="1"/>
    <col min="7" max="7" width="13.42578125" customWidth="1"/>
    <col min="8" max="8" width="11.28515625" customWidth="1"/>
    <col min="9" max="9" width="13.7109375" customWidth="1"/>
  </cols>
  <sheetData>
    <row r="1" spans="1:8" x14ac:dyDescent="0.25">
      <c r="A1" s="272"/>
      <c r="B1" s="272"/>
      <c r="C1" s="272"/>
      <c r="D1" s="272"/>
      <c r="E1" s="272"/>
      <c r="F1" s="272"/>
      <c r="G1" s="272"/>
      <c r="H1" s="272"/>
    </row>
    <row r="2" spans="1:8" ht="15.75" thickBot="1" x14ac:dyDescent="0.3">
      <c r="A2" s="272"/>
      <c r="B2" s="272"/>
      <c r="C2" s="272"/>
      <c r="D2" s="272"/>
      <c r="E2" s="272"/>
      <c r="F2" s="272"/>
      <c r="G2" s="272"/>
      <c r="H2" s="272"/>
    </row>
    <row r="3" spans="1:8" ht="24" customHeight="1" thickBot="1" x14ac:dyDescent="0.3">
      <c r="A3" s="460" t="s">
        <v>186</v>
      </c>
      <c r="B3" s="461"/>
      <c r="C3" s="461"/>
      <c r="D3" s="461"/>
      <c r="E3" s="461"/>
      <c r="F3" s="461"/>
      <c r="G3" s="461"/>
      <c r="H3" s="462"/>
    </row>
    <row r="4" spans="1:8" ht="15.75" thickBot="1" x14ac:dyDescent="0.3">
      <c r="A4" s="273"/>
      <c r="B4" s="274"/>
      <c r="C4" s="274"/>
      <c r="D4" s="274"/>
      <c r="E4" s="274"/>
      <c r="F4" s="274"/>
      <c r="G4" s="274"/>
      <c r="H4" s="273"/>
    </row>
    <row r="5" spans="1:8" ht="15.75" thickBot="1" x14ac:dyDescent="0.3">
      <c r="A5" s="273"/>
      <c r="B5" s="452" t="s">
        <v>198</v>
      </c>
      <c r="C5" s="453"/>
      <c r="D5" s="453"/>
      <c r="E5" s="453"/>
      <c r="F5" s="454"/>
      <c r="G5" s="274"/>
      <c r="H5" s="273"/>
    </row>
    <row r="6" spans="1:8" ht="45" x14ac:dyDescent="0.25">
      <c r="A6" s="273"/>
      <c r="B6" s="236" t="s">
        <v>259</v>
      </c>
      <c r="C6" s="237" t="s">
        <v>187</v>
      </c>
      <c r="D6" s="237" t="s">
        <v>190</v>
      </c>
      <c r="E6" s="237" t="s">
        <v>189</v>
      </c>
      <c r="F6" s="238" t="s">
        <v>188</v>
      </c>
      <c r="G6" s="274"/>
      <c r="H6" s="273"/>
    </row>
    <row r="7" spans="1:8" hidden="1" x14ac:dyDescent="0.25">
      <c r="A7" s="273"/>
      <c r="B7" s="455" t="s">
        <v>191</v>
      </c>
      <c r="C7" s="275" t="s">
        <v>176</v>
      </c>
      <c r="D7" s="276">
        <f>1/800</f>
        <v>1.25E-3</v>
      </c>
      <c r="E7" s="277">
        <f>Máximo!D498</f>
        <v>904.09257999988597</v>
      </c>
      <c r="F7" s="278">
        <f>D7*E7</f>
        <v>1.1301157249998575</v>
      </c>
      <c r="G7" s="274"/>
      <c r="H7" s="273"/>
    </row>
    <row r="8" spans="1:8" ht="28.5" hidden="1" x14ac:dyDescent="0.25">
      <c r="A8" s="273"/>
      <c r="B8" s="455"/>
      <c r="C8" s="275" t="s">
        <v>216</v>
      </c>
      <c r="D8" s="275">
        <f>1/(11*800)</f>
        <v>1.1363636363636364E-4</v>
      </c>
      <c r="E8" s="277">
        <f>Máximo!E498</f>
        <v>1265.9615370058752</v>
      </c>
      <c r="F8" s="278">
        <f>D8*E8</f>
        <v>0.14385926556884945</v>
      </c>
      <c r="G8" s="274"/>
      <c r="H8" s="273"/>
    </row>
    <row r="9" spans="1:8" hidden="1" x14ac:dyDescent="0.25">
      <c r="A9" s="273"/>
      <c r="B9" s="456" t="s">
        <v>48</v>
      </c>
      <c r="C9" s="457"/>
      <c r="D9" s="457"/>
      <c r="E9" s="457"/>
      <c r="F9" s="279">
        <f>SUM(F7:F8)</f>
        <v>1.273974990568707</v>
      </c>
      <c r="G9" s="273"/>
      <c r="H9" s="273"/>
    </row>
    <row r="10" spans="1:8" ht="28.5" x14ac:dyDescent="0.25">
      <c r="A10" s="273"/>
      <c r="B10" s="455" t="s">
        <v>192</v>
      </c>
      <c r="C10" s="275" t="s">
        <v>176</v>
      </c>
      <c r="D10" s="276">
        <f>1/1200</f>
        <v>8.3333333333333339E-4</v>
      </c>
      <c r="E10" s="277">
        <f>E7</f>
        <v>904.09257999988597</v>
      </c>
      <c r="F10" s="278">
        <f>D10*E10</f>
        <v>0.75341048333323835</v>
      </c>
      <c r="G10" s="273"/>
      <c r="H10" s="273"/>
    </row>
    <row r="11" spans="1:8" ht="28.5" x14ac:dyDescent="0.25">
      <c r="A11" s="273"/>
      <c r="B11" s="455"/>
      <c r="C11" s="275" t="s">
        <v>216</v>
      </c>
      <c r="D11" s="275">
        <f>1/(11*1200)</f>
        <v>7.5757575757575758E-5</v>
      </c>
      <c r="E11" s="277">
        <f>E8</f>
        <v>1265.9615370058752</v>
      </c>
      <c r="F11" s="278">
        <f>D11*E11</f>
        <v>9.590617704589964E-2</v>
      </c>
      <c r="G11" s="273"/>
      <c r="H11" s="273"/>
    </row>
    <row r="12" spans="1:8" ht="15.75" thickBot="1" x14ac:dyDescent="0.3">
      <c r="A12" s="273"/>
      <c r="B12" s="458" t="s">
        <v>48</v>
      </c>
      <c r="C12" s="459"/>
      <c r="D12" s="459"/>
      <c r="E12" s="459"/>
      <c r="F12" s="280">
        <f>SUM(F10:F11)</f>
        <v>0.849316660379138</v>
      </c>
      <c r="G12" s="273"/>
      <c r="H12" s="273"/>
    </row>
    <row r="13" spans="1:8" hidden="1" x14ac:dyDescent="0.25">
      <c r="A13" s="273"/>
      <c r="B13" s="273"/>
      <c r="C13" s="273"/>
      <c r="D13" s="273"/>
      <c r="E13" s="273"/>
      <c r="F13" s="273"/>
      <c r="G13" s="273"/>
      <c r="H13" s="273"/>
    </row>
    <row r="14" spans="1:8" ht="15.75" thickBot="1" x14ac:dyDescent="0.3">
      <c r="A14" s="273"/>
      <c r="B14" s="274"/>
      <c r="C14" s="274"/>
      <c r="D14" s="274"/>
      <c r="E14" s="274"/>
      <c r="F14" s="274"/>
      <c r="G14" s="274"/>
      <c r="H14" s="273"/>
    </row>
    <row r="15" spans="1:8" ht="15.75" thickBot="1" x14ac:dyDescent="0.3">
      <c r="A15" s="273"/>
      <c r="B15" s="452" t="s">
        <v>199</v>
      </c>
      <c r="C15" s="453"/>
      <c r="D15" s="453"/>
      <c r="E15" s="453"/>
      <c r="F15" s="454"/>
      <c r="G15" s="274"/>
      <c r="H15" s="273"/>
    </row>
    <row r="16" spans="1:8" ht="45" x14ac:dyDescent="0.25">
      <c r="A16" s="273"/>
      <c r="B16" s="236" t="s">
        <v>259</v>
      </c>
      <c r="C16" s="237" t="s">
        <v>187</v>
      </c>
      <c r="D16" s="237" t="s">
        <v>190</v>
      </c>
      <c r="E16" s="237" t="s">
        <v>189</v>
      </c>
      <c r="F16" s="238" t="s">
        <v>188</v>
      </c>
      <c r="G16" s="274"/>
      <c r="H16" s="273"/>
    </row>
    <row r="17" spans="1:8" hidden="1" x14ac:dyDescent="0.25">
      <c r="A17" s="273"/>
      <c r="B17" s="455">
        <v>360</v>
      </c>
      <c r="C17" s="275" t="s">
        <v>176</v>
      </c>
      <c r="D17" s="276">
        <f>1/360</f>
        <v>2.7777777777777779E-3</v>
      </c>
      <c r="E17" s="277">
        <f>E7</f>
        <v>904.09257999988597</v>
      </c>
      <c r="F17" s="278">
        <f>D17*E17</f>
        <v>2.5113682777774611</v>
      </c>
      <c r="G17" s="274"/>
      <c r="H17" s="273"/>
    </row>
    <row r="18" spans="1:8" ht="28.5" hidden="1" x14ac:dyDescent="0.25">
      <c r="A18" s="273"/>
      <c r="B18" s="455"/>
      <c r="C18" s="275" t="s">
        <v>216</v>
      </c>
      <c r="D18" s="275">
        <f>1/(11*360)</f>
        <v>2.5252525252525253E-4</v>
      </c>
      <c r="E18" s="277">
        <f>E8</f>
        <v>1265.9615370058752</v>
      </c>
      <c r="F18" s="278">
        <f>D18*E18</f>
        <v>0.31968725681966548</v>
      </c>
      <c r="G18" s="274"/>
      <c r="H18" s="273"/>
    </row>
    <row r="19" spans="1:8" hidden="1" x14ac:dyDescent="0.25">
      <c r="A19" s="273"/>
      <c r="B19" s="456" t="s">
        <v>48</v>
      </c>
      <c r="C19" s="457"/>
      <c r="D19" s="457"/>
      <c r="E19" s="457"/>
      <c r="F19" s="279">
        <f>SUM(F17:F18)</f>
        <v>2.8310555345971267</v>
      </c>
      <c r="G19" s="273"/>
      <c r="H19" s="273"/>
    </row>
    <row r="20" spans="1:8" ht="28.5" x14ac:dyDescent="0.25">
      <c r="A20" s="273"/>
      <c r="B20" s="455">
        <v>450</v>
      </c>
      <c r="C20" s="275" t="s">
        <v>176</v>
      </c>
      <c r="D20" s="276">
        <f>1/450</f>
        <v>2.2222222222222222E-3</v>
      </c>
      <c r="E20" s="277">
        <f>E17</f>
        <v>904.09257999988597</v>
      </c>
      <c r="F20" s="278">
        <f>D20*E20</f>
        <v>2.0090946222219688</v>
      </c>
      <c r="G20" s="273"/>
      <c r="H20" s="273"/>
    </row>
    <row r="21" spans="1:8" ht="28.5" x14ac:dyDescent="0.25">
      <c r="A21" s="273"/>
      <c r="B21" s="455"/>
      <c r="C21" s="275" t="s">
        <v>216</v>
      </c>
      <c r="D21" s="275">
        <f>1/(11*450)</f>
        <v>2.0202020202020202E-4</v>
      </c>
      <c r="E21" s="277">
        <f>E18</f>
        <v>1265.9615370058752</v>
      </c>
      <c r="F21" s="278">
        <f>D21*E21</f>
        <v>0.25574980545573239</v>
      </c>
      <c r="G21" s="273"/>
      <c r="H21" s="273"/>
    </row>
    <row r="22" spans="1:8" ht="15.75" thickBot="1" x14ac:dyDescent="0.3">
      <c r="A22" s="273"/>
      <c r="B22" s="458" t="s">
        <v>48</v>
      </c>
      <c r="C22" s="459"/>
      <c r="D22" s="459"/>
      <c r="E22" s="459"/>
      <c r="F22" s="280">
        <f>SUM(F20:F21)</f>
        <v>2.2648444276777013</v>
      </c>
      <c r="G22" s="273"/>
      <c r="H22" s="273"/>
    </row>
    <row r="23" spans="1:8" ht="15.75" thickBot="1" x14ac:dyDescent="0.3">
      <c r="A23" s="273"/>
      <c r="B23" s="273"/>
      <c r="C23" s="273"/>
      <c r="D23" s="273"/>
      <c r="E23" s="273"/>
      <c r="F23" s="273"/>
      <c r="G23" s="273"/>
      <c r="H23" s="273"/>
    </row>
    <row r="24" spans="1:8" ht="15.75" thickBot="1" x14ac:dyDescent="0.3">
      <c r="A24" s="273"/>
      <c r="B24" s="452" t="s">
        <v>200</v>
      </c>
      <c r="C24" s="453"/>
      <c r="D24" s="453"/>
      <c r="E24" s="453"/>
      <c r="F24" s="454"/>
      <c r="G24" s="273"/>
      <c r="H24" s="273"/>
    </row>
    <row r="25" spans="1:8" ht="45" x14ac:dyDescent="0.25">
      <c r="A25" s="273"/>
      <c r="B25" s="236" t="s">
        <v>259</v>
      </c>
      <c r="C25" s="237" t="s">
        <v>187</v>
      </c>
      <c r="D25" s="237" t="s">
        <v>190</v>
      </c>
      <c r="E25" s="237" t="s">
        <v>189</v>
      </c>
      <c r="F25" s="238" t="s">
        <v>188</v>
      </c>
      <c r="G25" s="273"/>
      <c r="H25" s="273"/>
    </row>
    <row r="26" spans="1:8" hidden="1" x14ac:dyDescent="0.25">
      <c r="A26" s="273"/>
      <c r="B26" s="455">
        <v>1500</v>
      </c>
      <c r="C26" s="275" t="s">
        <v>176</v>
      </c>
      <c r="D26" s="276">
        <f>1/1500</f>
        <v>6.6666666666666664E-4</v>
      </c>
      <c r="E26" s="277">
        <f>E7</f>
        <v>904.09257999988597</v>
      </c>
      <c r="F26" s="278">
        <f>D26*E26</f>
        <v>0.60272838666659068</v>
      </c>
      <c r="G26" s="273"/>
      <c r="H26" s="273"/>
    </row>
    <row r="27" spans="1:8" ht="28.5" hidden="1" x14ac:dyDescent="0.25">
      <c r="A27" s="273"/>
      <c r="B27" s="455"/>
      <c r="C27" s="275" t="s">
        <v>216</v>
      </c>
      <c r="D27" s="275">
        <f>1/(11*1500)</f>
        <v>6.0606060606060605E-5</v>
      </c>
      <c r="E27" s="277">
        <f>E8</f>
        <v>1265.9615370058752</v>
      </c>
      <c r="F27" s="278">
        <f>D27*E27</f>
        <v>7.672494163671971E-2</v>
      </c>
      <c r="G27" s="273"/>
      <c r="H27" s="273"/>
    </row>
    <row r="28" spans="1:8" hidden="1" x14ac:dyDescent="0.25">
      <c r="A28" s="273"/>
      <c r="B28" s="456" t="s">
        <v>48</v>
      </c>
      <c r="C28" s="457"/>
      <c r="D28" s="457"/>
      <c r="E28" s="457"/>
      <c r="F28" s="279">
        <f>SUM(F26:F27)</f>
        <v>0.6794533283033104</v>
      </c>
      <c r="G28" s="273"/>
      <c r="H28" s="273"/>
    </row>
    <row r="29" spans="1:8" ht="28.5" x14ac:dyDescent="0.25">
      <c r="A29" s="273"/>
      <c r="B29" s="455">
        <v>2500</v>
      </c>
      <c r="C29" s="275" t="s">
        <v>176</v>
      </c>
      <c r="D29" s="276">
        <f>1/2500</f>
        <v>4.0000000000000002E-4</v>
      </c>
      <c r="E29" s="277">
        <f>E26</f>
        <v>904.09257999988597</v>
      </c>
      <c r="F29" s="278">
        <f>D29*E29</f>
        <v>0.36163703199995439</v>
      </c>
      <c r="G29" s="273"/>
      <c r="H29" s="273"/>
    </row>
    <row r="30" spans="1:8" ht="28.5" x14ac:dyDescent="0.25">
      <c r="A30" s="273"/>
      <c r="B30" s="455"/>
      <c r="C30" s="275" t="s">
        <v>216</v>
      </c>
      <c r="D30" s="275">
        <f>1/(11*2500)</f>
        <v>3.6363636363636364E-5</v>
      </c>
      <c r="E30" s="277">
        <f>E27</f>
        <v>1265.9615370058752</v>
      </c>
      <c r="F30" s="278">
        <f>D30*E30</f>
        <v>4.6034964982031829E-2</v>
      </c>
      <c r="G30" s="273"/>
      <c r="H30" s="273"/>
    </row>
    <row r="31" spans="1:8" ht="15.75" thickBot="1" x14ac:dyDescent="0.3">
      <c r="A31" s="273"/>
      <c r="B31" s="458" t="s">
        <v>48</v>
      </c>
      <c r="C31" s="459"/>
      <c r="D31" s="459"/>
      <c r="E31" s="459"/>
      <c r="F31" s="280">
        <f>SUM(F29:F30)</f>
        <v>0.4076719969819862</v>
      </c>
      <c r="G31" s="273"/>
      <c r="H31" s="273"/>
    </row>
    <row r="32" spans="1:8" ht="15.75" thickBot="1" x14ac:dyDescent="0.3">
      <c r="A32" s="273"/>
      <c r="B32" s="273"/>
      <c r="C32" s="273"/>
      <c r="D32" s="273"/>
      <c r="E32" s="273"/>
      <c r="F32" s="273"/>
      <c r="G32" s="273"/>
      <c r="H32" s="273"/>
    </row>
    <row r="33" spans="1:8" ht="15.75" thickBot="1" x14ac:dyDescent="0.3">
      <c r="A33" s="273"/>
      <c r="B33" s="452" t="s">
        <v>201</v>
      </c>
      <c r="C33" s="453"/>
      <c r="D33" s="453"/>
      <c r="E33" s="453"/>
      <c r="F33" s="454"/>
      <c r="G33" s="273"/>
      <c r="H33" s="273"/>
    </row>
    <row r="34" spans="1:8" ht="45" x14ac:dyDescent="0.25">
      <c r="A34" s="273"/>
      <c r="B34" s="236" t="s">
        <v>259</v>
      </c>
      <c r="C34" s="237" t="s">
        <v>187</v>
      </c>
      <c r="D34" s="237" t="s">
        <v>190</v>
      </c>
      <c r="E34" s="237" t="s">
        <v>189</v>
      </c>
      <c r="F34" s="238" t="s">
        <v>188</v>
      </c>
      <c r="G34" s="273"/>
      <c r="H34" s="273"/>
    </row>
    <row r="35" spans="1:8" hidden="1" x14ac:dyDescent="0.25">
      <c r="A35" s="273"/>
      <c r="B35" s="455">
        <v>1000</v>
      </c>
      <c r="C35" s="275" t="s">
        <v>176</v>
      </c>
      <c r="D35" s="276">
        <f>1/1000</f>
        <v>1E-3</v>
      </c>
      <c r="E35" s="277">
        <f>E7</f>
        <v>904.09257999988597</v>
      </c>
      <c r="F35" s="278">
        <f>D35*E35</f>
        <v>0.90409257999988601</v>
      </c>
      <c r="G35" s="273"/>
      <c r="H35" s="273"/>
    </row>
    <row r="36" spans="1:8" ht="28.5" hidden="1" x14ac:dyDescent="0.25">
      <c r="A36" s="273"/>
      <c r="B36" s="455"/>
      <c r="C36" s="275" t="s">
        <v>216</v>
      </c>
      <c r="D36" s="275">
        <f>1/(11*1000)</f>
        <v>9.0909090909090904E-5</v>
      </c>
      <c r="E36" s="277">
        <f>E8</f>
        <v>1265.9615370058752</v>
      </c>
      <c r="F36" s="278">
        <f>D36*E36</f>
        <v>0.11508741245507956</v>
      </c>
      <c r="G36" s="273"/>
      <c r="H36" s="273"/>
    </row>
    <row r="37" spans="1:8" hidden="1" x14ac:dyDescent="0.25">
      <c r="A37" s="273"/>
      <c r="B37" s="456" t="s">
        <v>48</v>
      </c>
      <c r="C37" s="457"/>
      <c r="D37" s="457"/>
      <c r="E37" s="457"/>
      <c r="F37" s="279">
        <f>SUM(F35:F36)</f>
        <v>1.0191799924549656</v>
      </c>
      <c r="G37" s="273"/>
      <c r="H37" s="273"/>
    </row>
    <row r="38" spans="1:8" ht="28.5" x14ac:dyDescent="0.25">
      <c r="A38" s="273"/>
      <c r="B38" s="455">
        <v>1500</v>
      </c>
      <c r="C38" s="275" t="s">
        <v>176</v>
      </c>
      <c r="D38" s="276">
        <f>1/1500</f>
        <v>6.6666666666666664E-4</v>
      </c>
      <c r="E38" s="277">
        <f>E35</f>
        <v>904.09257999988597</v>
      </c>
      <c r="F38" s="278">
        <f>D38*E38</f>
        <v>0.60272838666659068</v>
      </c>
      <c r="G38" s="273"/>
      <c r="H38" s="273"/>
    </row>
    <row r="39" spans="1:8" ht="28.5" x14ac:dyDescent="0.25">
      <c r="A39" s="273"/>
      <c r="B39" s="455"/>
      <c r="C39" s="275" t="s">
        <v>216</v>
      </c>
      <c r="D39" s="275">
        <f>1/(11*1500)</f>
        <v>6.0606060606060605E-5</v>
      </c>
      <c r="E39" s="277">
        <f>E36</f>
        <v>1265.9615370058752</v>
      </c>
      <c r="F39" s="278">
        <f>D39*E39</f>
        <v>7.672494163671971E-2</v>
      </c>
      <c r="G39" s="273"/>
      <c r="H39" s="273"/>
    </row>
    <row r="40" spans="1:8" ht="15.75" thickBot="1" x14ac:dyDescent="0.3">
      <c r="A40" s="273"/>
      <c r="B40" s="458" t="s">
        <v>48</v>
      </c>
      <c r="C40" s="459"/>
      <c r="D40" s="459"/>
      <c r="E40" s="459"/>
      <c r="F40" s="280">
        <f>SUM(F38:F39)</f>
        <v>0.6794533283033104</v>
      </c>
      <c r="G40" s="273"/>
      <c r="H40" s="273"/>
    </row>
    <row r="41" spans="1:8" ht="15.75" thickBot="1" x14ac:dyDescent="0.3">
      <c r="A41" s="273"/>
      <c r="B41" s="273"/>
      <c r="C41" s="273"/>
      <c r="D41" s="273"/>
      <c r="E41" s="273"/>
      <c r="F41" s="273"/>
      <c r="G41" s="273"/>
      <c r="H41" s="273"/>
    </row>
    <row r="42" spans="1:8" ht="15.75" thickBot="1" x14ac:dyDescent="0.3">
      <c r="A42" s="273"/>
      <c r="B42" s="452" t="s">
        <v>202</v>
      </c>
      <c r="C42" s="453"/>
      <c r="D42" s="453"/>
      <c r="E42" s="453"/>
      <c r="F42" s="454"/>
      <c r="G42" s="273"/>
      <c r="H42" s="273"/>
    </row>
    <row r="43" spans="1:8" ht="45" x14ac:dyDescent="0.25">
      <c r="A43" s="273"/>
      <c r="B43" s="236" t="s">
        <v>259</v>
      </c>
      <c r="C43" s="237" t="s">
        <v>187</v>
      </c>
      <c r="D43" s="237" t="s">
        <v>190</v>
      </c>
      <c r="E43" s="237" t="s">
        <v>189</v>
      </c>
      <c r="F43" s="238" t="s">
        <v>188</v>
      </c>
      <c r="G43" s="273"/>
      <c r="H43" s="273"/>
    </row>
    <row r="44" spans="1:8" hidden="1" x14ac:dyDescent="0.25">
      <c r="A44" s="273"/>
      <c r="B44" s="455">
        <v>200</v>
      </c>
      <c r="C44" s="275" t="s">
        <v>176</v>
      </c>
      <c r="D44" s="276">
        <f>1/200</f>
        <v>5.0000000000000001E-3</v>
      </c>
      <c r="E44" s="277">
        <f>E17</f>
        <v>904.09257999988597</v>
      </c>
      <c r="F44" s="278">
        <f>D44*E44</f>
        <v>4.5204628999994299</v>
      </c>
      <c r="G44" s="273"/>
      <c r="H44" s="273"/>
    </row>
    <row r="45" spans="1:8" ht="28.5" hidden="1" x14ac:dyDescent="0.25">
      <c r="A45" s="273"/>
      <c r="B45" s="455"/>
      <c r="C45" s="275" t="s">
        <v>216</v>
      </c>
      <c r="D45" s="275">
        <f>1/(11*200)</f>
        <v>4.5454545454545455E-4</v>
      </c>
      <c r="E45" s="277">
        <f>E18</f>
        <v>1265.9615370058752</v>
      </c>
      <c r="F45" s="278">
        <f>D45*E45</f>
        <v>0.57543706227539781</v>
      </c>
      <c r="G45" s="273"/>
      <c r="H45" s="273"/>
    </row>
    <row r="46" spans="1:8" hidden="1" x14ac:dyDescent="0.25">
      <c r="A46" s="273"/>
      <c r="B46" s="456" t="s">
        <v>48</v>
      </c>
      <c r="C46" s="457"/>
      <c r="D46" s="457"/>
      <c r="E46" s="457"/>
      <c r="F46" s="279">
        <f>SUM(F44:F45)</f>
        <v>5.095899962274828</v>
      </c>
      <c r="G46" s="273"/>
      <c r="H46" s="273"/>
    </row>
    <row r="47" spans="1:8" ht="28.5" x14ac:dyDescent="0.25">
      <c r="A47" s="273"/>
      <c r="B47" s="455">
        <v>300</v>
      </c>
      <c r="C47" s="275" t="s">
        <v>176</v>
      </c>
      <c r="D47" s="276">
        <f>1/300</f>
        <v>3.3333333333333335E-3</v>
      </c>
      <c r="E47" s="277">
        <f>E44</f>
        <v>904.09257999988597</v>
      </c>
      <c r="F47" s="278">
        <f>D47*E47</f>
        <v>3.0136419333329534</v>
      </c>
      <c r="G47" s="273"/>
      <c r="H47" s="273"/>
    </row>
    <row r="48" spans="1:8" ht="28.5" x14ac:dyDescent="0.25">
      <c r="A48" s="273"/>
      <c r="B48" s="455"/>
      <c r="C48" s="275" t="s">
        <v>216</v>
      </c>
      <c r="D48" s="275">
        <f>1/(11*300)</f>
        <v>3.0303030303030303E-4</v>
      </c>
      <c r="E48" s="277">
        <f>E45</f>
        <v>1265.9615370058752</v>
      </c>
      <c r="F48" s="278">
        <f>D48*E48</f>
        <v>0.38362470818359856</v>
      </c>
      <c r="G48" s="273"/>
      <c r="H48" s="273"/>
    </row>
    <row r="49" spans="1:8" ht="15.75" thickBot="1" x14ac:dyDescent="0.3">
      <c r="A49" s="273"/>
      <c r="B49" s="458" t="s">
        <v>48</v>
      </c>
      <c r="C49" s="459"/>
      <c r="D49" s="459"/>
      <c r="E49" s="459"/>
      <c r="F49" s="280">
        <f>SUM(F47:F48)</f>
        <v>3.397266641516552</v>
      </c>
      <c r="G49" s="273"/>
      <c r="H49" s="273"/>
    </row>
    <row r="50" spans="1:8" ht="15.75" thickBot="1" x14ac:dyDescent="0.3">
      <c r="A50" s="273"/>
      <c r="B50" s="273"/>
      <c r="C50" s="273"/>
      <c r="D50" s="273"/>
      <c r="E50" s="273"/>
      <c r="F50" s="273"/>
      <c r="G50" s="273"/>
      <c r="H50" s="273"/>
    </row>
    <row r="51" spans="1:8" ht="15.75" thickBot="1" x14ac:dyDescent="0.3">
      <c r="A51" s="273"/>
      <c r="B51" s="452" t="s">
        <v>211</v>
      </c>
      <c r="C51" s="453"/>
      <c r="D51" s="453"/>
      <c r="E51" s="453"/>
      <c r="F51" s="454"/>
      <c r="G51" s="273"/>
      <c r="H51" s="273"/>
    </row>
    <row r="52" spans="1:8" ht="45" x14ac:dyDescent="0.25">
      <c r="A52" s="273"/>
      <c r="B52" s="236" t="s">
        <v>258</v>
      </c>
      <c r="C52" s="237" t="s">
        <v>187</v>
      </c>
      <c r="D52" s="237" t="s">
        <v>190</v>
      </c>
      <c r="E52" s="237" t="s">
        <v>189</v>
      </c>
      <c r="F52" s="238" t="s">
        <v>188</v>
      </c>
      <c r="G52" s="273"/>
      <c r="H52" s="273"/>
    </row>
    <row r="53" spans="1:8" hidden="1" x14ac:dyDescent="0.25">
      <c r="A53" s="273"/>
      <c r="B53" s="455">
        <v>6000</v>
      </c>
      <c r="C53" s="275" t="s">
        <v>176</v>
      </c>
      <c r="D53" s="276">
        <f>1/6000</f>
        <v>1.6666666666666666E-4</v>
      </c>
      <c r="E53" s="277">
        <f>E26</f>
        <v>904.09257999988597</v>
      </c>
      <c r="F53" s="278">
        <f>D53*E53</f>
        <v>0.15068209666664767</v>
      </c>
      <c r="G53" s="273"/>
      <c r="H53" s="273"/>
    </row>
    <row r="54" spans="1:8" ht="28.5" hidden="1" x14ac:dyDescent="0.25">
      <c r="A54" s="273"/>
      <c r="B54" s="455"/>
      <c r="C54" s="275" t="s">
        <v>216</v>
      </c>
      <c r="D54" s="275">
        <f>1/(11*6000)</f>
        <v>1.5151515151515151E-5</v>
      </c>
      <c r="E54" s="277">
        <f>E27</f>
        <v>1265.9615370058752</v>
      </c>
      <c r="F54" s="278">
        <f>D54*E54</f>
        <v>1.9181235409179927E-2</v>
      </c>
      <c r="G54" s="273"/>
      <c r="H54" s="273"/>
    </row>
    <row r="55" spans="1:8" hidden="1" x14ac:dyDescent="0.25">
      <c r="A55" s="273"/>
      <c r="B55" s="456" t="s">
        <v>48</v>
      </c>
      <c r="C55" s="457"/>
      <c r="D55" s="457"/>
      <c r="E55" s="457"/>
      <c r="F55" s="279">
        <f>SUM(F53:F54)</f>
        <v>0.1698633320758276</v>
      </c>
      <c r="G55" s="273"/>
      <c r="H55" s="273"/>
    </row>
    <row r="56" spans="1:8" ht="28.5" x14ac:dyDescent="0.25">
      <c r="A56" s="273"/>
      <c r="B56" s="455">
        <v>9000</v>
      </c>
      <c r="C56" s="275" t="s">
        <v>176</v>
      </c>
      <c r="D56" s="276">
        <f>1/9000</f>
        <v>1.1111111111111112E-4</v>
      </c>
      <c r="E56" s="277">
        <f>E53</f>
        <v>904.09257999988597</v>
      </c>
      <c r="F56" s="278">
        <f>D56*E56</f>
        <v>0.10045473111109844</v>
      </c>
      <c r="G56" s="273"/>
      <c r="H56" s="273"/>
    </row>
    <row r="57" spans="1:8" ht="28.5" x14ac:dyDescent="0.25">
      <c r="A57" s="273"/>
      <c r="B57" s="455"/>
      <c r="C57" s="275" t="s">
        <v>216</v>
      </c>
      <c r="D57" s="275">
        <f>1/(11*9000)</f>
        <v>1.0101010101010101E-5</v>
      </c>
      <c r="E57" s="277">
        <f>E54</f>
        <v>1265.9615370058752</v>
      </c>
      <c r="F57" s="278">
        <f>D57*E57</f>
        <v>1.2787490272786618E-2</v>
      </c>
      <c r="G57" s="273"/>
      <c r="H57" s="273"/>
    </row>
    <row r="58" spans="1:8" ht="15.75" thickBot="1" x14ac:dyDescent="0.3">
      <c r="A58" s="273"/>
      <c r="B58" s="458" t="s">
        <v>48</v>
      </c>
      <c r="C58" s="459"/>
      <c r="D58" s="459"/>
      <c r="E58" s="459"/>
      <c r="F58" s="280">
        <f>SUM(F56:F57)</f>
        <v>0.11324222138388507</v>
      </c>
      <c r="G58" s="273"/>
      <c r="H58" s="273"/>
    </row>
    <row r="59" spans="1:8" ht="15.75" thickBot="1" x14ac:dyDescent="0.3">
      <c r="A59" s="273"/>
      <c r="B59" s="273"/>
      <c r="C59" s="273"/>
      <c r="D59" s="273"/>
      <c r="E59" s="273"/>
      <c r="F59" s="273"/>
      <c r="G59" s="273"/>
      <c r="H59" s="273"/>
    </row>
    <row r="60" spans="1:8" ht="15.75" thickBot="1" x14ac:dyDescent="0.3">
      <c r="A60" s="273"/>
      <c r="B60" s="452" t="s">
        <v>214</v>
      </c>
      <c r="C60" s="453"/>
      <c r="D60" s="453"/>
      <c r="E60" s="453"/>
      <c r="F60" s="454"/>
      <c r="G60" s="273"/>
      <c r="H60" s="273"/>
    </row>
    <row r="61" spans="1:8" ht="45" x14ac:dyDescent="0.25">
      <c r="A61" s="273"/>
      <c r="B61" s="236" t="s">
        <v>257</v>
      </c>
      <c r="C61" s="237" t="s">
        <v>187</v>
      </c>
      <c r="D61" s="237" t="s">
        <v>190</v>
      </c>
      <c r="E61" s="237" t="s">
        <v>189</v>
      </c>
      <c r="F61" s="238" t="s">
        <v>188</v>
      </c>
      <c r="G61" s="273"/>
      <c r="H61" s="273"/>
    </row>
    <row r="62" spans="1:8" hidden="1" x14ac:dyDescent="0.25">
      <c r="A62" s="273"/>
      <c r="B62" s="455">
        <v>1800</v>
      </c>
      <c r="C62" s="275" t="s">
        <v>176</v>
      </c>
      <c r="D62" s="276">
        <f>1/1800</f>
        <v>5.5555555555555556E-4</v>
      </c>
      <c r="E62" s="277">
        <f>E35</f>
        <v>904.09257999988597</v>
      </c>
      <c r="F62" s="278">
        <f>D62*E62</f>
        <v>0.50227365555549219</v>
      </c>
      <c r="G62" s="273"/>
      <c r="H62" s="273"/>
    </row>
    <row r="63" spans="1:8" ht="28.5" hidden="1" x14ac:dyDescent="0.25">
      <c r="A63" s="273"/>
      <c r="B63" s="455"/>
      <c r="C63" s="275" t="s">
        <v>216</v>
      </c>
      <c r="D63" s="275">
        <f>1/(11*1800)</f>
        <v>5.0505050505050505E-5</v>
      </c>
      <c r="E63" s="277">
        <f>E36</f>
        <v>1265.9615370058752</v>
      </c>
      <c r="F63" s="278">
        <f>D63*E63</f>
        <v>6.3937451363933098E-2</v>
      </c>
      <c r="G63" s="273"/>
      <c r="H63" s="273"/>
    </row>
    <row r="64" spans="1:8" hidden="1" x14ac:dyDescent="0.25">
      <c r="A64" s="273"/>
      <c r="B64" s="456" t="s">
        <v>48</v>
      </c>
      <c r="C64" s="457"/>
      <c r="D64" s="457"/>
      <c r="E64" s="457"/>
      <c r="F64" s="279">
        <f>SUM(F62:F63)</f>
        <v>0.56621110691942533</v>
      </c>
      <c r="G64" s="273"/>
      <c r="H64" s="273"/>
    </row>
    <row r="65" spans="1:8" ht="28.5" x14ac:dyDescent="0.25">
      <c r="A65" s="273"/>
      <c r="B65" s="455">
        <v>2700</v>
      </c>
      <c r="C65" s="275" t="s">
        <v>176</v>
      </c>
      <c r="D65" s="276">
        <f>1/2700</f>
        <v>3.7037037037037035E-4</v>
      </c>
      <c r="E65" s="277">
        <f>E62</f>
        <v>904.09257999988597</v>
      </c>
      <c r="F65" s="278">
        <f>D65*E65</f>
        <v>0.33484910370366144</v>
      </c>
      <c r="G65" s="273"/>
      <c r="H65" s="273"/>
    </row>
    <row r="66" spans="1:8" ht="28.5" x14ac:dyDescent="0.25">
      <c r="A66" s="273"/>
      <c r="B66" s="455"/>
      <c r="C66" s="275" t="s">
        <v>216</v>
      </c>
      <c r="D66" s="275">
        <f>1/(11*2700)</f>
        <v>3.3670033670033668E-5</v>
      </c>
      <c r="E66" s="277">
        <f>E63</f>
        <v>1265.9615370058752</v>
      </c>
      <c r="F66" s="278">
        <f>D66*E66</f>
        <v>4.2624967575955394E-2</v>
      </c>
      <c r="G66" s="273"/>
      <c r="H66" s="273"/>
    </row>
    <row r="67" spans="1:8" ht="15.75" thickBot="1" x14ac:dyDescent="0.3">
      <c r="A67" s="273"/>
      <c r="B67" s="458" t="s">
        <v>48</v>
      </c>
      <c r="C67" s="459"/>
      <c r="D67" s="459"/>
      <c r="E67" s="459"/>
      <c r="F67" s="280">
        <f>SUM(F65:F66)</f>
        <v>0.37747407127961685</v>
      </c>
      <c r="G67" s="273"/>
      <c r="H67" s="273"/>
    </row>
    <row r="68" spans="1:8" ht="15.75" thickBot="1" x14ac:dyDescent="0.3">
      <c r="A68" s="273"/>
      <c r="B68" s="273"/>
      <c r="C68" s="273"/>
      <c r="D68" s="273"/>
      <c r="E68" s="273"/>
      <c r="F68" s="273"/>
      <c r="G68" s="273"/>
      <c r="H68" s="273"/>
    </row>
    <row r="69" spans="1:8" x14ac:dyDescent="0.25">
      <c r="A69" s="447" t="s">
        <v>204</v>
      </c>
      <c r="B69" s="448"/>
      <c r="C69" s="448"/>
      <c r="D69" s="448"/>
      <c r="E69" s="448"/>
      <c r="F69" s="448"/>
      <c r="G69" s="449"/>
      <c r="H69" s="281"/>
    </row>
    <row r="70" spans="1:8" ht="67.5" customHeight="1" x14ac:dyDescent="0.25">
      <c r="A70" s="230" t="s">
        <v>256</v>
      </c>
      <c r="B70" s="231" t="s">
        <v>187</v>
      </c>
      <c r="C70" s="231" t="s">
        <v>193</v>
      </c>
      <c r="D70" s="231" t="s">
        <v>255</v>
      </c>
      <c r="E70" s="231" t="s">
        <v>194</v>
      </c>
      <c r="F70" s="231" t="s">
        <v>195</v>
      </c>
      <c r="G70" s="231" t="s">
        <v>196</v>
      </c>
      <c r="H70" s="232" t="s">
        <v>197</v>
      </c>
    </row>
    <row r="71" spans="1:8" ht="28.5" hidden="1" customHeight="1" x14ac:dyDescent="0.25">
      <c r="A71" s="450">
        <v>130</v>
      </c>
      <c r="B71" s="275" t="s">
        <v>176</v>
      </c>
      <c r="C71" s="276">
        <f>1/130</f>
        <v>7.6923076923076927E-3</v>
      </c>
      <c r="D71" s="282">
        <v>16</v>
      </c>
      <c r="E71" s="275">
        <f>1/188.76</f>
        <v>5.2977325704598437E-3</v>
      </c>
      <c r="F71" s="283">
        <f>C71*D71*E71</f>
        <v>6.5202862405659614E-4</v>
      </c>
      <c r="G71" s="277">
        <f>E7</f>
        <v>904.09257999988597</v>
      </c>
      <c r="H71" s="284">
        <f>G71*F71</f>
        <v>0.58949424095710368</v>
      </c>
    </row>
    <row r="72" spans="1:8" ht="28.5" hidden="1" customHeight="1" x14ac:dyDescent="0.25">
      <c r="A72" s="451"/>
      <c r="B72" s="275" t="s">
        <v>216</v>
      </c>
      <c r="C72" s="275">
        <f>1/(11*130)</f>
        <v>6.993006993006993E-4</v>
      </c>
      <c r="D72" s="282">
        <v>16</v>
      </c>
      <c r="E72" s="275">
        <f>1/188.76</f>
        <v>5.2977325704598437E-3</v>
      </c>
      <c r="F72" s="283">
        <f>C72*D72*E72</f>
        <v>5.9275329459690558E-5</v>
      </c>
      <c r="G72" s="277">
        <f>E8</f>
        <v>1265.9615370058752</v>
      </c>
      <c r="H72" s="284">
        <f>G72*F72</f>
        <v>7.5040287189319502E-2</v>
      </c>
    </row>
    <row r="73" spans="1:8" hidden="1" x14ac:dyDescent="0.25">
      <c r="A73" s="285" t="s">
        <v>48</v>
      </c>
      <c r="B73" s="286"/>
      <c r="C73" s="286"/>
      <c r="D73" s="286"/>
      <c r="E73" s="286"/>
      <c r="F73" s="286"/>
      <c r="G73" s="287"/>
      <c r="H73" s="279">
        <f>SUM(H71:H72)</f>
        <v>0.66453452814642322</v>
      </c>
    </row>
    <row r="74" spans="1:8" ht="27.75" customHeight="1" x14ac:dyDescent="0.25">
      <c r="A74" s="450">
        <f>380*15</f>
        <v>5700</v>
      </c>
      <c r="B74" s="275" t="s">
        <v>176</v>
      </c>
      <c r="C74" s="276">
        <f>1/5700</f>
        <v>1.7543859649122806E-4</v>
      </c>
      <c r="D74" s="282">
        <v>19.53</v>
      </c>
      <c r="E74" s="275">
        <f>1/188.76</f>
        <v>5.2977325704598437E-3</v>
      </c>
      <c r="F74" s="283">
        <f>C74*D74*E74</f>
        <v>1.8151704754575569E-5</v>
      </c>
      <c r="G74" s="277">
        <f>E10</f>
        <v>904.09257999988597</v>
      </c>
      <c r="H74" s="284">
        <f>G74*F74</f>
        <v>1.6410821582960422E-2</v>
      </c>
    </row>
    <row r="75" spans="1:8" ht="29.25" customHeight="1" x14ac:dyDescent="0.25">
      <c r="A75" s="451"/>
      <c r="B75" s="275" t="s">
        <v>216</v>
      </c>
      <c r="C75" s="275">
        <f>1/(11*5700)</f>
        <v>1.5948963317384372E-5</v>
      </c>
      <c r="D75" s="282">
        <v>19.53</v>
      </c>
      <c r="E75" s="275">
        <f>1/188.76</f>
        <v>5.2977325704598437E-3</v>
      </c>
      <c r="F75" s="283">
        <f>C75*D75*E75</f>
        <v>1.6501549776886885E-6</v>
      </c>
      <c r="G75" s="277">
        <f>E11</f>
        <v>1265.9615370058752</v>
      </c>
      <c r="H75" s="284">
        <f>G75*F75</f>
        <v>2.0890327318526681E-3</v>
      </c>
    </row>
    <row r="76" spans="1:8" ht="15.75" thickBot="1" x14ac:dyDescent="0.3">
      <c r="A76" s="288" t="s">
        <v>48</v>
      </c>
      <c r="B76" s="289"/>
      <c r="C76" s="289"/>
      <c r="D76" s="289"/>
      <c r="E76" s="289"/>
      <c r="F76" s="289"/>
      <c r="G76" s="290"/>
      <c r="H76" s="280">
        <f>SUM(H74:H75)</f>
        <v>1.8499854314813088E-2</v>
      </c>
    </row>
    <row r="77" spans="1:8" ht="15.75" thickBot="1" x14ac:dyDescent="0.3">
      <c r="A77" s="273"/>
      <c r="B77" s="273"/>
      <c r="C77" s="273"/>
      <c r="D77" s="273"/>
      <c r="E77" s="273"/>
      <c r="F77" s="273"/>
      <c r="G77" s="273"/>
      <c r="H77" s="273"/>
    </row>
    <row r="78" spans="1:8" x14ac:dyDescent="0.25">
      <c r="A78" s="447" t="s">
        <v>203</v>
      </c>
      <c r="B78" s="448"/>
      <c r="C78" s="448"/>
      <c r="D78" s="448"/>
      <c r="E78" s="448"/>
      <c r="F78" s="448"/>
      <c r="G78" s="449"/>
      <c r="H78" s="281"/>
    </row>
    <row r="79" spans="1:8" ht="69.75" customHeight="1" x14ac:dyDescent="0.25">
      <c r="A79" s="230" t="s">
        <v>256</v>
      </c>
      <c r="B79" s="231" t="s">
        <v>187</v>
      </c>
      <c r="C79" s="231" t="s">
        <v>193</v>
      </c>
      <c r="D79" s="231" t="s">
        <v>255</v>
      </c>
      <c r="E79" s="231" t="s">
        <v>194</v>
      </c>
      <c r="F79" s="231" t="s">
        <v>195</v>
      </c>
      <c r="G79" s="231" t="s">
        <v>212</v>
      </c>
      <c r="H79" s="232" t="s">
        <v>197</v>
      </c>
    </row>
    <row r="80" spans="1:8" ht="28.5" hidden="1" customHeight="1" x14ac:dyDescent="0.25">
      <c r="A80" s="450">
        <v>130</v>
      </c>
      <c r="B80" s="275" t="s">
        <v>176</v>
      </c>
      <c r="C80" s="276">
        <f>1/130</f>
        <v>7.6923076923076927E-3</v>
      </c>
      <c r="D80" s="282">
        <v>16</v>
      </c>
      <c r="E80" s="275">
        <f>1/188.76</f>
        <v>5.2977325704598437E-3</v>
      </c>
      <c r="F80" s="283">
        <f>C80*D80*E80</f>
        <v>6.5202862405659614E-4</v>
      </c>
      <c r="G80" s="277">
        <f>G74</f>
        <v>904.09257999988597</v>
      </c>
      <c r="H80" s="284">
        <f>G80*F80</f>
        <v>0.58949424095710368</v>
      </c>
    </row>
    <row r="81" spans="1:8" ht="28.5" hidden="1" customHeight="1" x14ac:dyDescent="0.25">
      <c r="A81" s="451"/>
      <c r="B81" s="275" t="s">
        <v>216</v>
      </c>
      <c r="C81" s="275">
        <f>1/(11*130)</f>
        <v>6.993006993006993E-4</v>
      </c>
      <c r="D81" s="282">
        <v>16</v>
      </c>
      <c r="E81" s="275">
        <f>1/188.76</f>
        <v>5.2977325704598437E-3</v>
      </c>
      <c r="F81" s="283">
        <f>C81*D81*E81</f>
        <v>5.9275329459690558E-5</v>
      </c>
      <c r="G81" s="277">
        <f>G75</f>
        <v>1265.9615370058752</v>
      </c>
      <c r="H81" s="284">
        <f>G81*F81</f>
        <v>7.5040287189319502E-2</v>
      </c>
    </row>
    <row r="82" spans="1:8" hidden="1" x14ac:dyDescent="0.25">
      <c r="A82" s="285" t="s">
        <v>48</v>
      </c>
      <c r="B82" s="286"/>
      <c r="C82" s="286"/>
      <c r="D82" s="286"/>
      <c r="E82" s="286"/>
      <c r="F82" s="286"/>
      <c r="G82" s="287"/>
      <c r="H82" s="279">
        <f>SUM(H80:H81)</f>
        <v>0.66453452814642322</v>
      </c>
    </row>
    <row r="83" spans="1:8" ht="28.5" customHeight="1" x14ac:dyDescent="0.25">
      <c r="A83" s="450">
        <f>160*15</f>
        <v>2400</v>
      </c>
      <c r="B83" s="275" t="s">
        <v>176</v>
      </c>
      <c r="C83" s="276">
        <f>1/2400</f>
        <v>4.1666666666666669E-4</v>
      </c>
      <c r="D83" s="282">
        <v>36.81</v>
      </c>
      <c r="E83" s="275">
        <f>1/188.76</f>
        <v>5.2977325704598437E-3</v>
      </c>
      <c r="F83" s="283">
        <f>C83*D83*E83</f>
        <v>8.1253973299427859E-5</v>
      </c>
      <c r="G83" s="277">
        <f>G80</f>
        <v>904.09257999988597</v>
      </c>
      <c r="H83" s="284">
        <f>G83*F83</f>
        <v>7.3461114355521578E-2</v>
      </c>
    </row>
    <row r="84" spans="1:8" ht="27" customHeight="1" x14ac:dyDescent="0.25">
      <c r="A84" s="451"/>
      <c r="B84" s="275" t="s">
        <v>216</v>
      </c>
      <c r="C84" s="275">
        <f>1/(11*2400)</f>
        <v>3.7878787878787879E-5</v>
      </c>
      <c r="D84" s="282">
        <v>36.81</v>
      </c>
      <c r="E84" s="275">
        <f>1/188.76</f>
        <v>5.2977325704598437E-3</v>
      </c>
      <c r="F84" s="283">
        <f>C84*D84*E84</f>
        <v>7.3867248454025322E-6</v>
      </c>
      <c r="G84" s="277">
        <f>G81</f>
        <v>1265.9615370058752</v>
      </c>
      <c r="H84" s="284">
        <f>G84*F84</f>
        <v>9.3513095387252766E-3</v>
      </c>
    </row>
    <row r="85" spans="1:8" ht="15.75" thickBot="1" x14ac:dyDescent="0.3">
      <c r="A85" s="288" t="s">
        <v>48</v>
      </c>
      <c r="B85" s="289"/>
      <c r="C85" s="289"/>
      <c r="D85" s="289"/>
      <c r="E85" s="289"/>
      <c r="F85" s="289"/>
      <c r="G85" s="290"/>
      <c r="H85" s="280">
        <f>SUM(H83:H84)</f>
        <v>8.2812423894246853E-2</v>
      </c>
    </row>
    <row r="86" spans="1:8" ht="15.75" thickBot="1" x14ac:dyDescent="0.3">
      <c r="A86" s="273"/>
      <c r="B86" s="273"/>
      <c r="C86" s="273"/>
      <c r="D86" s="273"/>
      <c r="E86" s="273"/>
      <c r="F86" s="273"/>
      <c r="G86" s="273"/>
      <c r="H86" s="273"/>
    </row>
    <row r="87" spans="1:8" x14ac:dyDescent="0.25">
      <c r="A87" s="447" t="s">
        <v>215</v>
      </c>
      <c r="B87" s="448"/>
      <c r="C87" s="448"/>
      <c r="D87" s="448"/>
      <c r="E87" s="448"/>
      <c r="F87" s="448"/>
      <c r="G87" s="449"/>
      <c r="H87" s="281"/>
    </row>
    <row r="88" spans="1:8" ht="69.75" customHeight="1" x14ac:dyDescent="0.25">
      <c r="A88" s="230" t="s">
        <v>256</v>
      </c>
      <c r="B88" s="231" t="s">
        <v>187</v>
      </c>
      <c r="C88" s="231" t="s">
        <v>193</v>
      </c>
      <c r="D88" s="231" t="s">
        <v>255</v>
      </c>
      <c r="E88" s="231" t="s">
        <v>194</v>
      </c>
      <c r="F88" s="231" t="s">
        <v>195</v>
      </c>
      <c r="G88" s="231" t="s">
        <v>212</v>
      </c>
      <c r="H88" s="232" t="s">
        <v>197</v>
      </c>
    </row>
    <row r="89" spans="1:8" ht="28.5" hidden="1" customHeight="1" x14ac:dyDescent="0.25">
      <c r="A89" s="450">
        <v>300</v>
      </c>
      <c r="B89" s="275" t="s">
        <v>176</v>
      </c>
      <c r="C89" s="276">
        <f>1/300</f>
        <v>3.3333333333333335E-3</v>
      </c>
      <c r="D89" s="282">
        <f>D83</f>
        <v>36.81</v>
      </c>
      <c r="E89" s="275">
        <f>1/188.76</f>
        <v>5.2977325704598437E-3</v>
      </c>
      <c r="F89" s="283">
        <f>C89*D89*E89</f>
        <v>6.5003178639542287E-4</v>
      </c>
      <c r="G89" s="277">
        <f>G83</f>
        <v>904.09257999988597</v>
      </c>
      <c r="H89" s="284">
        <f>G89*F89</f>
        <v>0.58768891484417263</v>
      </c>
    </row>
    <row r="90" spans="1:8" ht="28.5" hidden="1" customHeight="1" x14ac:dyDescent="0.25">
      <c r="A90" s="451"/>
      <c r="B90" s="275" t="s">
        <v>216</v>
      </c>
      <c r="C90" s="275">
        <f>1/(11*300)</f>
        <v>3.0303030303030303E-4</v>
      </c>
      <c r="D90" s="282">
        <v>16</v>
      </c>
      <c r="E90" s="275">
        <f>1/188.76</f>
        <v>5.2977325704598437E-3</v>
      </c>
      <c r="F90" s="283">
        <f>C90*D90*E90</f>
        <v>2.5685976099199243E-5</v>
      </c>
      <c r="G90" s="277">
        <f>G84</f>
        <v>1265.9615370058752</v>
      </c>
      <c r="H90" s="284">
        <f>G90*F90</f>
        <v>3.2517457782038448E-2</v>
      </c>
    </row>
    <row r="91" spans="1:8" hidden="1" x14ac:dyDescent="0.25">
      <c r="A91" s="285" t="s">
        <v>48</v>
      </c>
      <c r="B91" s="286"/>
      <c r="C91" s="286"/>
      <c r="D91" s="286"/>
      <c r="E91" s="286"/>
      <c r="F91" s="286"/>
      <c r="G91" s="287"/>
      <c r="H91" s="279">
        <f>SUM(H89:H90)</f>
        <v>0.62020637262621103</v>
      </c>
    </row>
    <row r="92" spans="1:8" ht="27.75" customHeight="1" x14ac:dyDescent="0.25">
      <c r="A92" s="450">
        <f>380*15</f>
        <v>5700</v>
      </c>
      <c r="B92" s="275" t="s">
        <v>176</v>
      </c>
      <c r="C92" s="276">
        <f>1/5700</f>
        <v>1.7543859649122806E-4</v>
      </c>
      <c r="D92" s="282">
        <v>101.28</v>
      </c>
      <c r="E92" s="275">
        <f>1/188.76</f>
        <v>5.2977325704598437E-3</v>
      </c>
      <c r="F92" s="283">
        <f>C92*D92*E92</f>
        <v>9.4132342936170698E-5</v>
      </c>
      <c r="G92" s="277">
        <f>G89</f>
        <v>904.09257999988597</v>
      </c>
      <c r="H92" s="284">
        <f>G92*F92</f>
        <v>8.5104352786596602E-2</v>
      </c>
    </row>
    <row r="93" spans="1:8" ht="27.75" customHeight="1" x14ac:dyDescent="0.25">
      <c r="A93" s="451"/>
      <c r="B93" s="275" t="s">
        <v>216</v>
      </c>
      <c r="C93" s="275">
        <f>1/(11*5700)</f>
        <v>1.5948963317384372E-5</v>
      </c>
      <c r="D93" s="282">
        <v>101.28</v>
      </c>
      <c r="E93" s="275">
        <f>1/188.76</f>
        <v>5.2977325704598437E-3</v>
      </c>
      <c r="F93" s="283">
        <f>C93*D93*E93</f>
        <v>8.5574857214700652E-6</v>
      </c>
      <c r="G93" s="277">
        <f>G90</f>
        <v>1265.9615370058752</v>
      </c>
      <c r="H93" s="284">
        <f>G93*F93</f>
        <v>1.0833447776858076E-2</v>
      </c>
    </row>
    <row r="94" spans="1:8" ht="15.75" thickBot="1" x14ac:dyDescent="0.3">
      <c r="A94" s="233" t="s">
        <v>48</v>
      </c>
      <c r="B94" s="234"/>
      <c r="C94" s="234"/>
      <c r="D94" s="234"/>
      <c r="E94" s="234"/>
      <c r="F94" s="234"/>
      <c r="G94" s="235"/>
      <c r="H94" s="239">
        <f>SUM(H92:H93)</f>
        <v>9.5937800563454675E-2</v>
      </c>
    </row>
  </sheetData>
  <mergeCells count="45">
    <mergeCell ref="B40:E40"/>
    <mergeCell ref="B46:E46"/>
    <mergeCell ref="B47:B48"/>
    <mergeCell ref="A3:H3"/>
    <mergeCell ref="A69:G69"/>
    <mergeCell ref="B51:F51"/>
    <mergeCell ref="B53:B54"/>
    <mergeCell ref="B55:E55"/>
    <mergeCell ref="B56:B57"/>
    <mergeCell ref="B58:E58"/>
    <mergeCell ref="B26:B27"/>
    <mergeCell ref="B28:E28"/>
    <mergeCell ref="B29:B30"/>
    <mergeCell ref="B31:E31"/>
    <mergeCell ref="B33:F33"/>
    <mergeCell ref="B35:B36"/>
    <mergeCell ref="B49:E49"/>
    <mergeCell ref="B5:F5"/>
    <mergeCell ref="B7:B8"/>
    <mergeCell ref="B9:E9"/>
    <mergeCell ref="B10:B11"/>
    <mergeCell ref="B12:E12"/>
    <mergeCell ref="B42:F42"/>
    <mergeCell ref="B44:B45"/>
    <mergeCell ref="B15:F15"/>
    <mergeCell ref="B17:B18"/>
    <mergeCell ref="B19:E19"/>
    <mergeCell ref="B20:B21"/>
    <mergeCell ref="B22:E22"/>
    <mergeCell ref="B24:F24"/>
    <mergeCell ref="B37:E37"/>
    <mergeCell ref="B38:B39"/>
    <mergeCell ref="A87:G87"/>
    <mergeCell ref="A89:A90"/>
    <mergeCell ref="A92:A93"/>
    <mergeCell ref="B60:F60"/>
    <mergeCell ref="B62:B63"/>
    <mergeCell ref="B64:E64"/>
    <mergeCell ref="B65:B66"/>
    <mergeCell ref="B67:E67"/>
    <mergeCell ref="A83:A84"/>
    <mergeCell ref="A80:A81"/>
    <mergeCell ref="A78:G78"/>
    <mergeCell ref="A71:A72"/>
    <mergeCell ref="A74:A75"/>
  </mergeCells>
  <conditionalFormatting sqref="C7:C8">
    <cfRule type="duplicateValues" dxfId="38" priority="40"/>
  </conditionalFormatting>
  <conditionalFormatting sqref="C10">
    <cfRule type="duplicateValues" dxfId="37" priority="38"/>
  </conditionalFormatting>
  <conditionalFormatting sqref="C35">
    <cfRule type="duplicateValues" dxfId="36" priority="37"/>
  </conditionalFormatting>
  <conditionalFormatting sqref="C38">
    <cfRule type="duplicateValues" dxfId="35" priority="36"/>
  </conditionalFormatting>
  <conditionalFormatting sqref="B71">
    <cfRule type="duplicateValues" dxfId="34" priority="35"/>
  </conditionalFormatting>
  <conditionalFormatting sqref="B74">
    <cfRule type="duplicateValues" dxfId="33" priority="34"/>
  </conditionalFormatting>
  <conditionalFormatting sqref="C17">
    <cfRule type="duplicateValues" dxfId="32" priority="33"/>
  </conditionalFormatting>
  <conditionalFormatting sqref="C20">
    <cfRule type="duplicateValues" dxfId="31" priority="32"/>
  </conditionalFormatting>
  <conditionalFormatting sqref="C26">
    <cfRule type="duplicateValues" dxfId="30" priority="31"/>
  </conditionalFormatting>
  <conditionalFormatting sqref="C29">
    <cfRule type="duplicateValues" dxfId="29" priority="30"/>
  </conditionalFormatting>
  <conditionalFormatting sqref="C44">
    <cfRule type="duplicateValues" dxfId="28" priority="29"/>
  </conditionalFormatting>
  <conditionalFormatting sqref="C47">
    <cfRule type="duplicateValues" dxfId="27" priority="28"/>
  </conditionalFormatting>
  <conditionalFormatting sqref="C53">
    <cfRule type="duplicateValues" dxfId="26" priority="27"/>
  </conditionalFormatting>
  <conditionalFormatting sqref="C56">
    <cfRule type="duplicateValues" dxfId="25" priority="26"/>
  </conditionalFormatting>
  <conditionalFormatting sqref="B80">
    <cfRule type="duplicateValues" dxfId="24" priority="25"/>
  </conditionalFormatting>
  <conditionalFormatting sqref="B83">
    <cfRule type="duplicateValues" dxfId="23" priority="24"/>
  </conditionalFormatting>
  <conditionalFormatting sqref="C62">
    <cfRule type="duplicateValues" dxfId="22" priority="23"/>
  </conditionalFormatting>
  <conditionalFormatting sqref="C65">
    <cfRule type="duplicateValues" dxfId="21" priority="22"/>
  </conditionalFormatting>
  <conditionalFormatting sqref="B89">
    <cfRule type="duplicateValues" dxfId="20" priority="21"/>
  </conditionalFormatting>
  <conditionalFormatting sqref="B92">
    <cfRule type="duplicateValues" dxfId="19" priority="20"/>
  </conditionalFormatting>
  <conditionalFormatting sqref="C11">
    <cfRule type="duplicateValues" dxfId="18" priority="19"/>
  </conditionalFormatting>
  <conditionalFormatting sqref="C18">
    <cfRule type="duplicateValues" dxfId="17" priority="18"/>
  </conditionalFormatting>
  <conditionalFormatting sqref="C21">
    <cfRule type="duplicateValues" dxfId="16" priority="17"/>
  </conditionalFormatting>
  <conditionalFormatting sqref="C27">
    <cfRule type="duplicateValues" dxfId="15" priority="16"/>
  </conditionalFormatting>
  <conditionalFormatting sqref="C30">
    <cfRule type="duplicateValues" dxfId="14" priority="15"/>
  </conditionalFormatting>
  <conditionalFormatting sqref="C36">
    <cfRule type="duplicateValues" dxfId="13" priority="14"/>
  </conditionalFormatting>
  <conditionalFormatting sqref="C39">
    <cfRule type="duplicateValues" dxfId="12" priority="13"/>
  </conditionalFormatting>
  <conditionalFormatting sqref="C45">
    <cfRule type="duplicateValues" dxfId="11" priority="12"/>
  </conditionalFormatting>
  <conditionalFormatting sqref="C48">
    <cfRule type="duplicateValues" dxfId="10" priority="11"/>
  </conditionalFormatting>
  <conditionalFormatting sqref="C54">
    <cfRule type="duplicateValues" dxfId="9" priority="10"/>
  </conditionalFormatting>
  <conditionalFormatting sqref="C57">
    <cfRule type="duplicateValues" dxfId="8" priority="9"/>
  </conditionalFormatting>
  <conditionalFormatting sqref="C63">
    <cfRule type="duplicateValues" dxfId="7" priority="8"/>
  </conditionalFormatting>
  <conditionalFormatting sqref="C66">
    <cfRule type="duplicateValues" dxfId="6" priority="7"/>
  </conditionalFormatting>
  <conditionalFormatting sqref="B72">
    <cfRule type="duplicateValues" dxfId="5" priority="6"/>
  </conditionalFormatting>
  <conditionalFormatting sqref="B75">
    <cfRule type="duplicateValues" dxfId="4" priority="5"/>
  </conditionalFormatting>
  <conditionalFormatting sqref="B81">
    <cfRule type="duplicateValues" dxfId="3" priority="4"/>
  </conditionalFormatting>
  <conditionalFormatting sqref="B84">
    <cfRule type="duplicateValues" dxfId="2" priority="3"/>
  </conditionalFormatting>
  <conditionalFormatting sqref="B90">
    <cfRule type="duplicateValues" dxfId="1" priority="2"/>
  </conditionalFormatting>
  <conditionalFormatting sqref="B93">
    <cfRule type="duplicateValues" dxfId="0" priority="1"/>
  </conditionalFormatting>
  <printOptions horizontalCentered="1"/>
  <pageMargins left="0.31496062992125984" right="0.31496062992125984" top="0.39370078740157483" bottom="0.39370078740157483" header="0.31496062992125984" footer="0.31496062992125984"/>
  <pageSetup paperSize="9" scale="73" orientation="portrait" r:id="rId1"/>
  <rowBreaks count="1" manualBreakCount="1">
    <brk id="58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0"/>
  <sheetViews>
    <sheetView workbookViewId="0">
      <selection activeCell="A70" sqref="A70:G70"/>
    </sheetView>
  </sheetViews>
  <sheetFormatPr defaultRowHeight="15" x14ac:dyDescent="0.25"/>
  <cols>
    <col min="1" max="1" width="5.140625" customWidth="1"/>
    <col min="2" max="2" width="8" customWidth="1"/>
    <col min="3" max="3" width="49.85546875" customWidth="1"/>
    <col min="4" max="4" width="10.28515625" customWidth="1"/>
    <col min="5" max="6" width="12" customWidth="1"/>
    <col min="7" max="7" width="15" customWidth="1"/>
    <col min="8" max="8" width="15.140625" customWidth="1"/>
    <col min="9" max="9" width="20.5703125" customWidth="1"/>
  </cols>
  <sheetData>
    <row r="2" spans="1:8" s="297" customFormat="1" ht="26.25" customHeight="1" x14ac:dyDescent="0.25">
      <c r="A2" s="465" t="s">
        <v>345</v>
      </c>
      <c r="B2" s="467"/>
      <c r="C2" s="467"/>
      <c r="D2" s="467"/>
      <c r="E2" s="467"/>
      <c r="F2" s="467"/>
      <c r="G2" s="467"/>
      <c r="H2" s="467"/>
    </row>
    <row r="3" spans="1:8" s="297" customFormat="1" ht="30" x14ac:dyDescent="0.25">
      <c r="A3" s="306" t="s">
        <v>155</v>
      </c>
      <c r="B3" s="306" t="s">
        <v>275</v>
      </c>
      <c r="C3" s="307" t="s">
        <v>167</v>
      </c>
      <c r="D3" s="306" t="s">
        <v>276</v>
      </c>
      <c r="E3" s="306" t="s">
        <v>277</v>
      </c>
      <c r="F3" s="308" t="s">
        <v>370</v>
      </c>
      <c r="G3" s="308" t="s">
        <v>339</v>
      </c>
      <c r="H3" s="309" t="s">
        <v>340</v>
      </c>
    </row>
    <row r="4" spans="1:8" s="297" customFormat="1" ht="28.5" x14ac:dyDescent="0.25">
      <c r="A4" s="310">
        <v>1</v>
      </c>
      <c r="B4" s="310">
        <v>292730</v>
      </c>
      <c r="C4" s="311" t="s">
        <v>278</v>
      </c>
      <c r="D4" s="312" t="s">
        <v>279</v>
      </c>
      <c r="E4" s="310">
        <v>120</v>
      </c>
      <c r="F4" s="310"/>
      <c r="G4" s="313"/>
      <c r="H4" s="314">
        <f t="shared" ref="H4:H33" si="0">E4*G4</f>
        <v>0</v>
      </c>
    </row>
    <row r="5" spans="1:8" s="297" customFormat="1" ht="28.5" x14ac:dyDescent="0.25">
      <c r="A5" s="310">
        <f t="shared" ref="A5:A33" si="1">SUM(A4+1)</f>
        <v>2</v>
      </c>
      <c r="B5" s="310">
        <v>347138</v>
      </c>
      <c r="C5" s="311" t="s">
        <v>280</v>
      </c>
      <c r="D5" s="312" t="s">
        <v>281</v>
      </c>
      <c r="E5" s="310">
        <v>180</v>
      </c>
      <c r="F5" s="310"/>
      <c r="G5" s="313"/>
      <c r="H5" s="314">
        <f t="shared" si="0"/>
        <v>0</v>
      </c>
    </row>
    <row r="6" spans="1:8" s="297" customFormat="1" ht="14.25" x14ac:dyDescent="0.25">
      <c r="A6" s="310">
        <f t="shared" si="1"/>
        <v>3</v>
      </c>
      <c r="B6" s="310">
        <v>269943</v>
      </c>
      <c r="C6" s="311" t="s">
        <v>282</v>
      </c>
      <c r="D6" s="312" t="s">
        <v>281</v>
      </c>
      <c r="E6" s="310">
        <v>150</v>
      </c>
      <c r="F6" s="310"/>
      <c r="G6" s="313"/>
      <c r="H6" s="314">
        <f t="shared" si="0"/>
        <v>0</v>
      </c>
    </row>
    <row r="7" spans="1:8" s="297" customFormat="1" ht="28.5" x14ac:dyDescent="0.25">
      <c r="A7" s="310">
        <f t="shared" si="1"/>
        <v>4</v>
      </c>
      <c r="B7" s="310">
        <v>261168</v>
      </c>
      <c r="C7" s="311" t="s">
        <v>283</v>
      </c>
      <c r="D7" s="312" t="s">
        <v>284</v>
      </c>
      <c r="E7" s="310">
        <v>180</v>
      </c>
      <c r="F7" s="310"/>
      <c r="G7" s="313"/>
      <c r="H7" s="315">
        <f t="shared" si="0"/>
        <v>0</v>
      </c>
    </row>
    <row r="8" spans="1:8" s="297" customFormat="1" ht="28.5" x14ac:dyDescent="0.25">
      <c r="A8" s="310">
        <f t="shared" si="1"/>
        <v>5</v>
      </c>
      <c r="B8" s="310">
        <v>384525</v>
      </c>
      <c r="C8" s="311" t="s">
        <v>285</v>
      </c>
      <c r="D8" s="312" t="s">
        <v>286</v>
      </c>
      <c r="E8" s="310">
        <v>300</v>
      </c>
      <c r="F8" s="310"/>
      <c r="G8" s="313"/>
      <c r="H8" s="314">
        <f t="shared" si="0"/>
        <v>0</v>
      </c>
    </row>
    <row r="9" spans="1:8" s="297" customFormat="1" ht="42.75" x14ac:dyDescent="0.25">
      <c r="A9" s="310">
        <f t="shared" si="1"/>
        <v>6</v>
      </c>
      <c r="B9" s="310">
        <v>320029</v>
      </c>
      <c r="C9" s="311" t="s">
        <v>287</v>
      </c>
      <c r="D9" s="312" t="s">
        <v>288</v>
      </c>
      <c r="E9" s="310">
        <v>576</v>
      </c>
      <c r="F9" s="310"/>
      <c r="G9" s="313"/>
      <c r="H9" s="314">
        <f t="shared" si="0"/>
        <v>0</v>
      </c>
    </row>
    <row r="10" spans="1:8" s="297" customFormat="1" ht="42.75" x14ac:dyDescent="0.25">
      <c r="A10" s="310">
        <f t="shared" si="1"/>
        <v>7</v>
      </c>
      <c r="B10" s="310">
        <v>224638</v>
      </c>
      <c r="C10" s="311" t="s">
        <v>289</v>
      </c>
      <c r="D10" s="312" t="s">
        <v>290</v>
      </c>
      <c r="E10" s="310">
        <v>225</v>
      </c>
      <c r="F10" s="310"/>
      <c r="G10" s="313"/>
      <c r="H10" s="314">
        <f t="shared" si="0"/>
        <v>0</v>
      </c>
    </row>
    <row r="11" spans="1:8" s="297" customFormat="1" ht="28.5" x14ac:dyDescent="0.25">
      <c r="A11" s="310">
        <f t="shared" si="1"/>
        <v>8</v>
      </c>
      <c r="B11" s="310">
        <v>30252</v>
      </c>
      <c r="C11" s="311" t="s">
        <v>291</v>
      </c>
      <c r="D11" s="312" t="s">
        <v>276</v>
      </c>
      <c r="E11" s="310">
        <v>120</v>
      </c>
      <c r="F11" s="310"/>
      <c r="G11" s="313"/>
      <c r="H11" s="314">
        <f t="shared" si="0"/>
        <v>0</v>
      </c>
    </row>
    <row r="12" spans="1:8" s="297" customFormat="1" ht="14.25" x14ac:dyDescent="0.25">
      <c r="A12" s="310">
        <f t="shared" si="1"/>
        <v>9</v>
      </c>
      <c r="B12" s="310">
        <v>288945</v>
      </c>
      <c r="C12" s="311" t="s">
        <v>292</v>
      </c>
      <c r="D12" s="312" t="s">
        <v>276</v>
      </c>
      <c r="E12" s="310">
        <v>300</v>
      </c>
      <c r="F12" s="310"/>
      <c r="G12" s="313"/>
      <c r="H12" s="314">
        <f t="shared" si="0"/>
        <v>0</v>
      </c>
    </row>
    <row r="13" spans="1:8" s="297" customFormat="1" ht="28.5" x14ac:dyDescent="0.25">
      <c r="A13" s="310">
        <f t="shared" si="1"/>
        <v>10</v>
      </c>
      <c r="B13" s="310">
        <v>260569</v>
      </c>
      <c r="C13" s="311" t="s">
        <v>293</v>
      </c>
      <c r="D13" s="312" t="s">
        <v>276</v>
      </c>
      <c r="E13" s="310">
        <v>600</v>
      </c>
      <c r="F13" s="310"/>
      <c r="G13" s="313"/>
      <c r="H13" s="314">
        <f t="shared" si="0"/>
        <v>0</v>
      </c>
    </row>
    <row r="14" spans="1:8" s="297" customFormat="1" ht="29.25" x14ac:dyDescent="0.25">
      <c r="A14" s="310">
        <f t="shared" si="1"/>
        <v>11</v>
      </c>
      <c r="B14" s="310">
        <v>226950</v>
      </c>
      <c r="C14" s="311" t="s">
        <v>341</v>
      </c>
      <c r="D14" s="312" t="s">
        <v>294</v>
      </c>
      <c r="E14" s="310">
        <v>180</v>
      </c>
      <c r="F14" s="310"/>
      <c r="G14" s="313"/>
      <c r="H14" s="314">
        <f t="shared" si="0"/>
        <v>0</v>
      </c>
    </row>
    <row r="15" spans="1:8" s="297" customFormat="1" ht="28.5" x14ac:dyDescent="0.25">
      <c r="A15" s="310">
        <f t="shared" si="1"/>
        <v>12</v>
      </c>
      <c r="B15" s="310">
        <v>381409</v>
      </c>
      <c r="C15" s="311" t="s">
        <v>295</v>
      </c>
      <c r="D15" s="312" t="s">
        <v>286</v>
      </c>
      <c r="E15" s="310">
        <v>336</v>
      </c>
      <c r="F15" s="310"/>
      <c r="G15" s="313"/>
      <c r="H15" s="314">
        <f t="shared" si="0"/>
        <v>0</v>
      </c>
    </row>
    <row r="16" spans="1:8" s="297" customFormat="1" ht="30" x14ac:dyDescent="0.25">
      <c r="A16" s="310">
        <f t="shared" si="1"/>
        <v>13</v>
      </c>
      <c r="B16" s="310">
        <v>241725</v>
      </c>
      <c r="C16" s="311" t="s">
        <v>342</v>
      </c>
      <c r="D16" s="312" t="s">
        <v>296</v>
      </c>
      <c r="E16" s="310">
        <v>360</v>
      </c>
      <c r="F16" s="310"/>
      <c r="G16" s="313"/>
      <c r="H16" s="314">
        <f t="shared" si="0"/>
        <v>0</v>
      </c>
    </row>
    <row r="17" spans="1:8" s="297" customFormat="1" ht="14.25" x14ac:dyDescent="0.25">
      <c r="A17" s="310">
        <f t="shared" si="1"/>
        <v>14</v>
      </c>
      <c r="B17" s="310">
        <v>232372</v>
      </c>
      <c r="C17" s="311" t="s">
        <v>297</v>
      </c>
      <c r="D17" s="312" t="s">
        <v>276</v>
      </c>
      <c r="E17" s="310">
        <v>180</v>
      </c>
      <c r="F17" s="310"/>
      <c r="G17" s="313"/>
      <c r="H17" s="314">
        <f t="shared" si="0"/>
        <v>0</v>
      </c>
    </row>
    <row r="18" spans="1:8" s="297" customFormat="1" ht="42.75" x14ac:dyDescent="0.25">
      <c r="A18" s="310">
        <f t="shared" si="1"/>
        <v>15</v>
      </c>
      <c r="B18" s="310">
        <v>435223</v>
      </c>
      <c r="C18" s="311" t="s">
        <v>298</v>
      </c>
      <c r="D18" s="312" t="s">
        <v>276</v>
      </c>
      <c r="E18" s="310">
        <v>120</v>
      </c>
      <c r="F18" s="310"/>
      <c r="G18" s="313"/>
      <c r="H18" s="314">
        <f t="shared" si="0"/>
        <v>0</v>
      </c>
    </row>
    <row r="19" spans="1:8" s="297" customFormat="1" ht="28.5" x14ac:dyDescent="0.25">
      <c r="A19" s="310">
        <f t="shared" si="1"/>
        <v>16</v>
      </c>
      <c r="B19" s="310">
        <v>226630</v>
      </c>
      <c r="C19" s="311" t="s">
        <v>299</v>
      </c>
      <c r="D19" s="312" t="s">
        <v>276</v>
      </c>
      <c r="E19" s="310">
        <v>120</v>
      </c>
      <c r="F19" s="310"/>
      <c r="G19" s="313"/>
      <c r="H19" s="314">
        <f t="shared" si="0"/>
        <v>0</v>
      </c>
    </row>
    <row r="20" spans="1:8" s="297" customFormat="1" ht="28.5" x14ac:dyDescent="0.25">
      <c r="A20" s="310">
        <f t="shared" si="1"/>
        <v>17</v>
      </c>
      <c r="B20" s="310">
        <v>226789</v>
      </c>
      <c r="C20" s="311" t="s">
        <v>300</v>
      </c>
      <c r="D20" s="312" t="s">
        <v>301</v>
      </c>
      <c r="E20" s="310">
        <v>120</v>
      </c>
      <c r="F20" s="310"/>
      <c r="G20" s="313"/>
      <c r="H20" s="314">
        <f t="shared" si="0"/>
        <v>0</v>
      </c>
    </row>
    <row r="21" spans="1:8" s="297" customFormat="1" ht="42.75" x14ac:dyDescent="0.25">
      <c r="A21" s="310">
        <f t="shared" si="1"/>
        <v>18</v>
      </c>
      <c r="B21" s="310">
        <v>330485</v>
      </c>
      <c r="C21" s="311" t="s">
        <v>302</v>
      </c>
      <c r="D21" s="312" t="s">
        <v>303</v>
      </c>
      <c r="E21" s="310">
        <v>120</v>
      </c>
      <c r="F21" s="310"/>
      <c r="G21" s="313"/>
      <c r="H21" s="314">
        <f t="shared" si="0"/>
        <v>0</v>
      </c>
    </row>
    <row r="22" spans="1:8" s="297" customFormat="1" ht="42.75" x14ac:dyDescent="0.25">
      <c r="A22" s="310">
        <f t="shared" si="1"/>
        <v>19</v>
      </c>
      <c r="B22" s="310">
        <v>226092</v>
      </c>
      <c r="C22" s="311" t="s">
        <v>304</v>
      </c>
      <c r="D22" s="312" t="s">
        <v>303</v>
      </c>
      <c r="E22" s="310">
        <v>120</v>
      </c>
      <c r="F22" s="310"/>
      <c r="G22" s="313"/>
      <c r="H22" s="314">
        <f t="shared" si="0"/>
        <v>0</v>
      </c>
    </row>
    <row r="23" spans="1:8" s="297" customFormat="1" ht="42.75" x14ac:dyDescent="0.25">
      <c r="A23" s="310">
        <f t="shared" si="1"/>
        <v>20</v>
      </c>
      <c r="B23" s="310">
        <v>359114</v>
      </c>
      <c r="C23" s="316" t="s">
        <v>305</v>
      </c>
      <c r="D23" s="312" t="s">
        <v>303</v>
      </c>
      <c r="E23" s="310">
        <v>120</v>
      </c>
      <c r="F23" s="310"/>
      <c r="G23" s="313"/>
      <c r="H23" s="314">
        <f t="shared" si="0"/>
        <v>0</v>
      </c>
    </row>
    <row r="24" spans="1:8" s="297" customFormat="1" ht="14.25" x14ac:dyDescent="0.25">
      <c r="A24" s="310">
        <f t="shared" si="1"/>
        <v>21</v>
      </c>
      <c r="B24" s="310">
        <v>288871</v>
      </c>
      <c r="C24" s="311" t="s">
        <v>306</v>
      </c>
      <c r="D24" s="312" t="s">
        <v>276</v>
      </c>
      <c r="E24" s="310">
        <v>20</v>
      </c>
      <c r="F24" s="310"/>
      <c r="G24" s="313"/>
      <c r="H24" s="314">
        <f t="shared" si="0"/>
        <v>0</v>
      </c>
    </row>
    <row r="25" spans="1:8" s="297" customFormat="1" ht="28.5" x14ac:dyDescent="0.25">
      <c r="A25" s="310">
        <f t="shared" si="1"/>
        <v>22</v>
      </c>
      <c r="B25" s="310">
        <v>226144</v>
      </c>
      <c r="C25" s="311" t="s">
        <v>307</v>
      </c>
      <c r="D25" s="312" t="s">
        <v>276</v>
      </c>
      <c r="E25" s="310">
        <v>54</v>
      </c>
      <c r="F25" s="310"/>
      <c r="G25" s="313"/>
      <c r="H25" s="314">
        <f t="shared" si="0"/>
        <v>0</v>
      </c>
    </row>
    <row r="26" spans="1:8" s="297" customFormat="1" ht="28.5" x14ac:dyDescent="0.25">
      <c r="A26" s="310">
        <f t="shared" si="1"/>
        <v>23</v>
      </c>
      <c r="B26" s="310">
        <v>151014</v>
      </c>
      <c r="C26" s="311" t="s">
        <v>308</v>
      </c>
      <c r="D26" s="312" t="s">
        <v>276</v>
      </c>
      <c r="E26" s="310">
        <v>27</v>
      </c>
      <c r="F26" s="310"/>
      <c r="G26" s="313"/>
      <c r="H26" s="314">
        <f t="shared" si="0"/>
        <v>0</v>
      </c>
    </row>
    <row r="27" spans="1:8" s="297" customFormat="1" ht="28.5" x14ac:dyDescent="0.25">
      <c r="A27" s="310">
        <f t="shared" si="1"/>
        <v>24</v>
      </c>
      <c r="B27" s="310">
        <v>30236</v>
      </c>
      <c r="C27" s="311" t="s">
        <v>309</v>
      </c>
      <c r="D27" s="312" t="s">
        <v>276</v>
      </c>
      <c r="E27" s="310">
        <v>40</v>
      </c>
      <c r="F27" s="310"/>
      <c r="G27" s="313"/>
      <c r="H27" s="314">
        <f t="shared" si="0"/>
        <v>0</v>
      </c>
    </row>
    <row r="28" spans="1:8" s="297" customFormat="1" ht="28.5" x14ac:dyDescent="0.25">
      <c r="A28" s="310">
        <f t="shared" si="1"/>
        <v>25</v>
      </c>
      <c r="B28" s="310">
        <v>30228</v>
      </c>
      <c r="C28" s="311" t="s">
        <v>310</v>
      </c>
      <c r="D28" s="312" t="s">
        <v>276</v>
      </c>
      <c r="E28" s="310">
        <v>27</v>
      </c>
      <c r="F28" s="310"/>
      <c r="G28" s="313"/>
      <c r="H28" s="314">
        <f t="shared" si="0"/>
        <v>0</v>
      </c>
    </row>
    <row r="29" spans="1:8" s="297" customFormat="1" ht="28.5" x14ac:dyDescent="0.25">
      <c r="A29" s="310">
        <f t="shared" si="1"/>
        <v>26</v>
      </c>
      <c r="B29" s="310">
        <v>30228</v>
      </c>
      <c r="C29" s="311" t="s">
        <v>311</v>
      </c>
      <c r="D29" s="312" t="s">
        <v>276</v>
      </c>
      <c r="E29" s="310">
        <v>120</v>
      </c>
      <c r="F29" s="310"/>
      <c r="G29" s="313"/>
      <c r="H29" s="314">
        <f t="shared" si="0"/>
        <v>0</v>
      </c>
    </row>
    <row r="30" spans="1:8" s="297" customFormat="1" ht="14.25" x14ac:dyDescent="0.25">
      <c r="A30" s="310">
        <f t="shared" si="1"/>
        <v>27</v>
      </c>
      <c r="B30" s="310">
        <v>298327</v>
      </c>
      <c r="C30" s="311" t="s">
        <v>312</v>
      </c>
      <c r="D30" s="312" t="s">
        <v>313</v>
      </c>
      <c r="E30" s="310">
        <v>15</v>
      </c>
      <c r="F30" s="310"/>
      <c r="G30" s="313"/>
      <c r="H30" s="314">
        <f t="shared" si="0"/>
        <v>0</v>
      </c>
    </row>
    <row r="31" spans="1:8" s="297" customFormat="1" ht="28.5" x14ac:dyDescent="0.25">
      <c r="A31" s="310">
        <f t="shared" si="1"/>
        <v>28</v>
      </c>
      <c r="B31" s="310">
        <v>265226</v>
      </c>
      <c r="C31" s="311" t="s">
        <v>314</v>
      </c>
      <c r="D31" s="312" t="s">
        <v>276</v>
      </c>
      <c r="E31" s="310">
        <v>27</v>
      </c>
      <c r="F31" s="310"/>
      <c r="G31" s="313"/>
      <c r="H31" s="314">
        <f t="shared" si="0"/>
        <v>0</v>
      </c>
    </row>
    <row r="32" spans="1:8" s="297" customFormat="1" ht="14.25" x14ac:dyDescent="0.25">
      <c r="A32" s="310">
        <f t="shared" si="1"/>
        <v>29</v>
      </c>
      <c r="B32" s="310">
        <v>321573</v>
      </c>
      <c r="C32" s="311" t="s">
        <v>315</v>
      </c>
      <c r="D32" s="312" t="s">
        <v>276</v>
      </c>
      <c r="E32" s="310">
        <v>27</v>
      </c>
      <c r="F32" s="310"/>
      <c r="G32" s="313"/>
      <c r="H32" s="314">
        <f t="shared" si="0"/>
        <v>0</v>
      </c>
    </row>
    <row r="33" spans="1:8" s="297" customFormat="1" ht="14.25" x14ac:dyDescent="0.25">
      <c r="A33" s="317">
        <f t="shared" si="1"/>
        <v>30</v>
      </c>
      <c r="B33" s="317">
        <v>227903</v>
      </c>
      <c r="C33" s="318" t="s">
        <v>316</v>
      </c>
      <c r="D33" s="319" t="s">
        <v>276</v>
      </c>
      <c r="E33" s="317">
        <v>100</v>
      </c>
      <c r="F33" s="317"/>
      <c r="G33" s="320"/>
      <c r="H33" s="321">
        <f t="shared" si="0"/>
        <v>0</v>
      </c>
    </row>
    <row r="34" spans="1:8" s="297" customFormat="1" ht="15" customHeight="1" x14ac:dyDescent="0.25">
      <c r="A34" s="466" t="s">
        <v>317</v>
      </c>
      <c r="B34" s="466"/>
      <c r="C34" s="466"/>
      <c r="D34" s="466"/>
      <c r="E34" s="466"/>
      <c r="F34" s="466"/>
      <c r="G34" s="466"/>
      <c r="H34" s="303">
        <f>SUM(H4:H33)</f>
        <v>0</v>
      </c>
    </row>
    <row r="35" spans="1:8" s="297" customFormat="1" ht="15" customHeight="1" x14ac:dyDescent="0.25">
      <c r="A35" s="463" t="s">
        <v>343</v>
      </c>
      <c r="B35" s="463"/>
      <c r="C35" s="463"/>
      <c r="D35" s="463"/>
      <c r="E35" s="463"/>
      <c r="F35" s="463"/>
      <c r="G35" s="463"/>
      <c r="H35" s="304">
        <f>H34/12</f>
        <v>0</v>
      </c>
    </row>
    <row r="36" spans="1:8" s="297" customFormat="1" ht="15" customHeight="1" x14ac:dyDescent="0.25">
      <c r="A36" s="464" t="s">
        <v>344</v>
      </c>
      <c r="B36" s="464"/>
      <c r="C36" s="464"/>
      <c r="D36" s="464"/>
      <c r="E36" s="464"/>
      <c r="F36" s="464"/>
      <c r="G36" s="464"/>
      <c r="H36" s="305">
        <f>H35/12</f>
        <v>0</v>
      </c>
    </row>
    <row r="37" spans="1:8" s="297" customFormat="1" ht="14.25" x14ac:dyDescent="0.25">
      <c r="A37" s="296"/>
      <c r="B37" s="296"/>
      <c r="D37" s="296"/>
      <c r="E37" s="296"/>
      <c r="F37" s="296"/>
      <c r="H37" s="302"/>
    </row>
    <row r="38" spans="1:8" s="297" customFormat="1" ht="24" customHeight="1" x14ac:dyDescent="0.25">
      <c r="A38" s="465" t="s">
        <v>318</v>
      </c>
      <c r="B38" s="465"/>
      <c r="C38" s="465"/>
      <c r="D38" s="465"/>
      <c r="E38" s="465"/>
      <c r="F38" s="465"/>
      <c r="G38" s="465"/>
      <c r="H38" s="465"/>
    </row>
    <row r="39" spans="1:8" s="297" customFormat="1" ht="30" x14ac:dyDescent="0.25">
      <c r="A39" s="306" t="s">
        <v>155</v>
      </c>
      <c r="B39" s="306" t="s">
        <v>275</v>
      </c>
      <c r="C39" s="307" t="s">
        <v>167</v>
      </c>
      <c r="D39" s="306" t="s">
        <v>276</v>
      </c>
      <c r="E39" s="306" t="s">
        <v>277</v>
      </c>
      <c r="F39" s="308" t="s">
        <v>370</v>
      </c>
      <c r="G39" s="308" t="s">
        <v>339</v>
      </c>
      <c r="H39" s="309" t="s">
        <v>340</v>
      </c>
    </row>
    <row r="40" spans="1:8" s="297" customFormat="1" ht="14.25" x14ac:dyDescent="0.25">
      <c r="A40" s="293">
        <v>31</v>
      </c>
      <c r="B40" s="293">
        <v>150158</v>
      </c>
      <c r="C40" s="294" t="s">
        <v>319</v>
      </c>
      <c r="D40" s="293" t="s">
        <v>320</v>
      </c>
      <c r="E40" s="299">
        <v>3</v>
      </c>
      <c r="F40" s="299"/>
      <c r="G40" s="295"/>
      <c r="H40" s="295">
        <f t="shared" ref="H40:H47" si="2">E40*G40</f>
        <v>0</v>
      </c>
    </row>
    <row r="41" spans="1:8" s="297" customFormat="1" ht="14.25" x14ac:dyDescent="0.25">
      <c r="A41" s="293">
        <f t="shared" ref="A41:A47" si="3">A40+1</f>
        <v>32</v>
      </c>
      <c r="B41" s="293">
        <v>93904</v>
      </c>
      <c r="C41" s="294" t="s">
        <v>321</v>
      </c>
      <c r="D41" s="293" t="s">
        <v>320</v>
      </c>
      <c r="E41" s="299">
        <v>68</v>
      </c>
      <c r="F41" s="299"/>
      <c r="G41" s="295"/>
      <c r="H41" s="295">
        <f t="shared" si="2"/>
        <v>0</v>
      </c>
    </row>
    <row r="42" spans="1:8" s="297" customFormat="1" ht="14.25" x14ac:dyDescent="0.25">
      <c r="A42" s="293">
        <f t="shared" si="3"/>
        <v>33</v>
      </c>
      <c r="B42" s="293">
        <v>298356</v>
      </c>
      <c r="C42" s="294" t="s">
        <v>322</v>
      </c>
      <c r="D42" s="293" t="s">
        <v>320</v>
      </c>
      <c r="E42" s="299">
        <v>10</v>
      </c>
      <c r="F42" s="299"/>
      <c r="G42" s="295"/>
      <c r="H42" s="295">
        <f t="shared" si="2"/>
        <v>0</v>
      </c>
    </row>
    <row r="43" spans="1:8" s="297" customFormat="1" ht="14.25" x14ac:dyDescent="0.25">
      <c r="A43" s="293">
        <f t="shared" si="3"/>
        <v>34</v>
      </c>
      <c r="B43" s="293">
        <v>22098</v>
      </c>
      <c r="C43" s="294" t="s">
        <v>323</v>
      </c>
      <c r="D43" s="293" t="s">
        <v>320</v>
      </c>
      <c r="E43" s="299">
        <v>5</v>
      </c>
      <c r="F43" s="299"/>
      <c r="G43" s="295"/>
      <c r="H43" s="295">
        <f t="shared" si="2"/>
        <v>0</v>
      </c>
    </row>
    <row r="44" spans="1:8" s="297" customFormat="1" ht="28.5" x14ac:dyDescent="0.25">
      <c r="A44" s="293">
        <f t="shared" si="3"/>
        <v>35</v>
      </c>
      <c r="B44" s="293">
        <v>150245</v>
      </c>
      <c r="C44" s="294" t="s">
        <v>324</v>
      </c>
      <c r="D44" s="293" t="s">
        <v>320</v>
      </c>
      <c r="E44" s="299">
        <v>2</v>
      </c>
      <c r="F44" s="299"/>
      <c r="G44" s="295"/>
      <c r="H44" s="295">
        <f t="shared" si="2"/>
        <v>0</v>
      </c>
    </row>
    <row r="45" spans="1:8" s="297" customFormat="1" ht="14.25" x14ac:dyDescent="0.25">
      <c r="A45" s="293">
        <f t="shared" si="3"/>
        <v>36</v>
      </c>
      <c r="B45" s="293">
        <v>150651</v>
      </c>
      <c r="C45" s="294" t="s">
        <v>325</v>
      </c>
      <c r="D45" s="293" t="s">
        <v>320</v>
      </c>
      <c r="E45" s="299">
        <v>7</v>
      </c>
      <c r="F45" s="299"/>
      <c r="G45" s="295"/>
      <c r="H45" s="295">
        <f t="shared" si="2"/>
        <v>0</v>
      </c>
    </row>
    <row r="46" spans="1:8" s="297" customFormat="1" ht="42.75" x14ac:dyDescent="0.25">
      <c r="A46" s="293">
        <f t="shared" si="3"/>
        <v>37</v>
      </c>
      <c r="B46" s="293">
        <v>30163</v>
      </c>
      <c r="C46" s="294" t="s">
        <v>326</v>
      </c>
      <c r="D46" s="293" t="s">
        <v>320</v>
      </c>
      <c r="E46" s="299">
        <v>2</v>
      </c>
      <c r="F46" s="299"/>
      <c r="G46" s="295"/>
      <c r="H46" s="295">
        <f t="shared" si="2"/>
        <v>0</v>
      </c>
    </row>
    <row r="47" spans="1:8" s="297" customFormat="1" ht="28.5" x14ac:dyDescent="0.25">
      <c r="A47" s="293">
        <f t="shared" si="3"/>
        <v>38</v>
      </c>
      <c r="B47" s="293">
        <v>244118</v>
      </c>
      <c r="C47" s="294" t="s">
        <v>327</v>
      </c>
      <c r="D47" s="293" t="s">
        <v>320</v>
      </c>
      <c r="E47" s="299">
        <v>4</v>
      </c>
      <c r="F47" s="299"/>
      <c r="G47" s="295"/>
      <c r="H47" s="295">
        <f t="shared" si="2"/>
        <v>0</v>
      </c>
    </row>
    <row r="48" spans="1:8" s="297" customFormat="1" ht="14.25" x14ac:dyDescent="0.25">
      <c r="A48" s="466" t="s">
        <v>317</v>
      </c>
      <c r="B48" s="466"/>
      <c r="C48" s="466"/>
      <c r="D48" s="466"/>
      <c r="E48" s="466"/>
      <c r="F48" s="466"/>
      <c r="G48" s="466"/>
      <c r="H48" s="303">
        <f>SUM(H40:H47)</f>
        <v>0</v>
      </c>
    </row>
    <row r="49" spans="1:8" s="297" customFormat="1" ht="14.25" x14ac:dyDescent="0.25">
      <c r="A49" s="463" t="s">
        <v>343</v>
      </c>
      <c r="B49" s="463"/>
      <c r="C49" s="463"/>
      <c r="D49" s="463"/>
      <c r="E49" s="463"/>
      <c r="F49" s="463"/>
      <c r="G49" s="463"/>
      <c r="H49" s="304">
        <f>H48/12</f>
        <v>0</v>
      </c>
    </row>
    <row r="50" spans="1:8" s="297" customFormat="1" ht="14.25" x14ac:dyDescent="0.25">
      <c r="A50" s="464" t="s">
        <v>344</v>
      </c>
      <c r="B50" s="464"/>
      <c r="C50" s="464"/>
      <c r="D50" s="464"/>
      <c r="E50" s="464"/>
      <c r="F50" s="464"/>
      <c r="G50" s="464"/>
      <c r="H50" s="305">
        <f>H49/12</f>
        <v>0</v>
      </c>
    </row>
    <row r="51" spans="1:8" s="297" customFormat="1" ht="14.25" x14ac:dyDescent="0.25">
      <c r="A51" s="296"/>
      <c r="B51" s="296"/>
      <c r="C51" s="81"/>
      <c r="D51" s="301"/>
      <c r="E51" s="301"/>
      <c r="F51" s="301"/>
      <c r="G51" s="81"/>
      <c r="H51" s="81"/>
    </row>
    <row r="52" spans="1:8" s="297" customFormat="1" ht="25.5" customHeight="1" x14ac:dyDescent="0.25">
      <c r="A52" s="465" t="s">
        <v>328</v>
      </c>
      <c r="B52" s="465"/>
      <c r="C52" s="465"/>
      <c r="D52" s="465"/>
      <c r="E52" s="465"/>
      <c r="F52" s="465"/>
      <c r="G52" s="465"/>
      <c r="H52" s="465"/>
    </row>
    <row r="53" spans="1:8" s="297" customFormat="1" ht="30" x14ac:dyDescent="0.25">
      <c r="A53" s="306" t="s">
        <v>155</v>
      </c>
      <c r="B53" s="306" t="s">
        <v>275</v>
      </c>
      <c r="C53" s="307" t="s">
        <v>167</v>
      </c>
      <c r="D53" s="306" t="s">
        <v>276</v>
      </c>
      <c r="E53" s="306" t="s">
        <v>277</v>
      </c>
      <c r="F53" s="308" t="s">
        <v>370</v>
      </c>
      <c r="G53" s="308" t="s">
        <v>339</v>
      </c>
      <c r="H53" s="309" t="s">
        <v>340</v>
      </c>
    </row>
    <row r="54" spans="1:8" s="297" customFormat="1" ht="42.75" x14ac:dyDescent="0.25">
      <c r="A54" s="293">
        <v>39</v>
      </c>
      <c r="B54" s="293">
        <v>63320</v>
      </c>
      <c r="C54" s="294" t="s">
        <v>329</v>
      </c>
      <c r="D54" s="293" t="s">
        <v>330</v>
      </c>
      <c r="E54" s="299">
        <v>54</v>
      </c>
      <c r="F54" s="299"/>
      <c r="G54" s="295"/>
      <c r="H54" s="295">
        <f t="shared" ref="H54:H56" si="4">E54*G54</f>
        <v>0</v>
      </c>
    </row>
    <row r="55" spans="1:8" s="297" customFormat="1" ht="14.25" x14ac:dyDescent="0.25">
      <c r="A55" s="293">
        <v>40</v>
      </c>
      <c r="B55" s="293">
        <v>331174</v>
      </c>
      <c r="C55" s="298" t="s">
        <v>331</v>
      </c>
      <c r="D55" s="293" t="s">
        <v>320</v>
      </c>
      <c r="E55" s="299">
        <v>22</v>
      </c>
      <c r="F55" s="299"/>
      <c r="G55" s="295"/>
      <c r="H55" s="295">
        <f t="shared" si="4"/>
        <v>0</v>
      </c>
    </row>
    <row r="56" spans="1:8" s="297" customFormat="1" ht="14.25" x14ac:dyDescent="0.25">
      <c r="A56" s="293">
        <v>41</v>
      </c>
      <c r="B56" s="293">
        <v>340407</v>
      </c>
      <c r="C56" s="298" t="s">
        <v>332</v>
      </c>
      <c r="D56" s="293" t="s">
        <v>320</v>
      </c>
      <c r="E56" s="299">
        <v>36</v>
      </c>
      <c r="F56" s="299"/>
      <c r="G56" s="295"/>
      <c r="H56" s="295">
        <f t="shared" si="4"/>
        <v>0</v>
      </c>
    </row>
    <row r="57" spans="1:8" s="297" customFormat="1" ht="14.25" x14ac:dyDescent="0.25">
      <c r="A57" s="466" t="s">
        <v>317</v>
      </c>
      <c r="B57" s="466"/>
      <c r="C57" s="466"/>
      <c r="D57" s="466"/>
      <c r="E57" s="466"/>
      <c r="F57" s="466"/>
      <c r="G57" s="466"/>
      <c r="H57" s="303">
        <f>SUM(H54:H56)</f>
        <v>0</v>
      </c>
    </row>
    <row r="58" spans="1:8" s="297" customFormat="1" ht="14.25" x14ac:dyDescent="0.25">
      <c r="A58" s="463" t="s">
        <v>343</v>
      </c>
      <c r="B58" s="463"/>
      <c r="C58" s="463"/>
      <c r="D58" s="463"/>
      <c r="E58" s="463"/>
      <c r="F58" s="463"/>
      <c r="G58" s="463"/>
      <c r="H58" s="304">
        <f>H57/12</f>
        <v>0</v>
      </c>
    </row>
    <row r="59" spans="1:8" s="297" customFormat="1" ht="14.25" x14ac:dyDescent="0.25">
      <c r="A59" s="464" t="s">
        <v>344</v>
      </c>
      <c r="B59" s="464"/>
      <c r="C59" s="464"/>
      <c r="D59" s="464"/>
      <c r="E59" s="464"/>
      <c r="F59" s="464"/>
      <c r="G59" s="464"/>
      <c r="H59" s="305">
        <f>H58/12</f>
        <v>0</v>
      </c>
    </row>
    <row r="60" spans="1:8" s="297" customFormat="1" ht="14.25" x14ac:dyDescent="0.25">
      <c r="A60" s="81"/>
      <c r="B60" s="81"/>
      <c r="C60" s="81"/>
      <c r="D60" s="81"/>
      <c r="E60" s="81"/>
      <c r="F60" s="81"/>
      <c r="G60" s="81"/>
      <c r="H60" s="81"/>
    </row>
    <row r="61" spans="1:8" s="297" customFormat="1" ht="27" customHeight="1" x14ac:dyDescent="0.25">
      <c r="A61" s="465" t="s">
        <v>333</v>
      </c>
      <c r="B61" s="465"/>
      <c r="C61" s="465"/>
      <c r="D61" s="465"/>
      <c r="E61" s="465"/>
      <c r="F61" s="465"/>
      <c r="G61" s="465"/>
      <c r="H61" s="465"/>
    </row>
    <row r="62" spans="1:8" s="297" customFormat="1" ht="30" x14ac:dyDescent="0.25">
      <c r="A62" s="306" t="s">
        <v>155</v>
      </c>
      <c r="B62" s="306" t="s">
        <v>275</v>
      </c>
      <c r="C62" s="307" t="s">
        <v>167</v>
      </c>
      <c r="D62" s="306" t="s">
        <v>276</v>
      </c>
      <c r="E62" s="306" t="s">
        <v>277</v>
      </c>
      <c r="F62" s="308" t="s">
        <v>370</v>
      </c>
      <c r="G62" s="308" t="s">
        <v>339</v>
      </c>
      <c r="H62" s="309" t="s">
        <v>340</v>
      </c>
    </row>
    <row r="63" spans="1:8" s="297" customFormat="1" ht="57" x14ac:dyDescent="0.25">
      <c r="A63" s="293">
        <v>42</v>
      </c>
      <c r="B63" s="293">
        <v>401366</v>
      </c>
      <c r="C63" s="294" t="s">
        <v>334</v>
      </c>
      <c r="D63" s="293" t="s">
        <v>320</v>
      </c>
      <c r="E63" s="299">
        <v>48</v>
      </c>
      <c r="F63" s="299"/>
      <c r="G63" s="295"/>
      <c r="H63" s="295">
        <f t="shared" ref="H63:H67" si="5">E63*G63</f>
        <v>0</v>
      </c>
    </row>
    <row r="64" spans="1:8" s="297" customFormat="1" ht="42.75" x14ac:dyDescent="0.25">
      <c r="A64" s="293">
        <v>43</v>
      </c>
      <c r="B64" s="293">
        <v>151064</v>
      </c>
      <c r="C64" s="294" t="s">
        <v>335</v>
      </c>
      <c r="D64" s="293" t="s">
        <v>320</v>
      </c>
      <c r="E64" s="299">
        <v>24</v>
      </c>
      <c r="F64" s="299"/>
      <c r="G64" s="295"/>
      <c r="H64" s="295">
        <f t="shared" si="5"/>
        <v>0</v>
      </c>
    </row>
    <row r="65" spans="1:8" s="297" customFormat="1" ht="42.75" x14ac:dyDescent="0.25">
      <c r="A65" s="293">
        <v>44</v>
      </c>
      <c r="B65" s="293">
        <v>150242</v>
      </c>
      <c r="C65" s="294" t="s">
        <v>336</v>
      </c>
      <c r="D65" s="293" t="s">
        <v>330</v>
      </c>
      <c r="E65" s="299">
        <v>24</v>
      </c>
      <c r="F65" s="299"/>
      <c r="G65" s="295"/>
      <c r="H65" s="295">
        <f t="shared" si="5"/>
        <v>0</v>
      </c>
    </row>
    <row r="66" spans="1:8" s="297" customFormat="1" ht="14.25" x14ac:dyDescent="0.25">
      <c r="A66" s="293">
        <v>45</v>
      </c>
      <c r="B66" s="293">
        <v>281448</v>
      </c>
      <c r="C66" s="294" t="s">
        <v>337</v>
      </c>
      <c r="D66" s="293" t="s">
        <v>330</v>
      </c>
      <c r="E66" s="299">
        <v>48</v>
      </c>
      <c r="F66" s="299"/>
      <c r="G66" s="295"/>
      <c r="H66" s="295">
        <f t="shared" si="5"/>
        <v>0</v>
      </c>
    </row>
    <row r="67" spans="1:8" s="297" customFormat="1" ht="14.25" x14ac:dyDescent="0.25">
      <c r="A67" s="293">
        <v>46</v>
      </c>
      <c r="B67" s="293">
        <v>357042</v>
      </c>
      <c r="C67" s="294" t="s">
        <v>338</v>
      </c>
      <c r="D67" s="293" t="s">
        <v>320</v>
      </c>
      <c r="E67" s="299">
        <v>12</v>
      </c>
      <c r="F67" s="327"/>
      <c r="G67" s="300"/>
      <c r="H67" s="295">
        <f t="shared" si="5"/>
        <v>0</v>
      </c>
    </row>
    <row r="68" spans="1:8" s="297" customFormat="1" ht="14.25" x14ac:dyDescent="0.25">
      <c r="A68" s="466" t="s">
        <v>317</v>
      </c>
      <c r="B68" s="466"/>
      <c r="C68" s="466"/>
      <c r="D68" s="466"/>
      <c r="E68" s="466"/>
      <c r="F68" s="466"/>
      <c r="G68" s="466"/>
      <c r="H68" s="303">
        <f>SUM(H63:H67)</f>
        <v>0</v>
      </c>
    </row>
    <row r="69" spans="1:8" s="297" customFormat="1" ht="14.25" x14ac:dyDescent="0.25">
      <c r="A69" s="463" t="s">
        <v>343</v>
      </c>
      <c r="B69" s="463"/>
      <c r="C69" s="463"/>
      <c r="D69" s="463"/>
      <c r="E69" s="463"/>
      <c r="F69" s="463"/>
      <c r="G69" s="463"/>
      <c r="H69" s="304">
        <f>H68/12</f>
        <v>0</v>
      </c>
    </row>
    <row r="70" spans="1:8" s="297" customFormat="1" ht="14.25" x14ac:dyDescent="0.25">
      <c r="A70" s="464" t="s">
        <v>344</v>
      </c>
      <c r="B70" s="464"/>
      <c r="C70" s="464"/>
      <c r="D70" s="464"/>
      <c r="E70" s="464"/>
      <c r="F70" s="464"/>
      <c r="G70" s="464"/>
      <c r="H70" s="305">
        <f>H69/12</f>
        <v>0</v>
      </c>
    </row>
  </sheetData>
  <mergeCells count="16">
    <mergeCell ref="A48:G48"/>
    <mergeCell ref="A49:G49"/>
    <mergeCell ref="A50:G50"/>
    <mergeCell ref="A2:H2"/>
    <mergeCell ref="A38:H38"/>
    <mergeCell ref="A34:G34"/>
    <mergeCell ref="A35:G35"/>
    <mergeCell ref="A36:G36"/>
    <mergeCell ref="A69:G69"/>
    <mergeCell ref="A70:G70"/>
    <mergeCell ref="A52:H52"/>
    <mergeCell ref="A57:G57"/>
    <mergeCell ref="A58:G58"/>
    <mergeCell ref="A59:G59"/>
    <mergeCell ref="A61:H61"/>
    <mergeCell ref="A68:G6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Final</vt:lpstr>
      <vt:lpstr>CAPA</vt:lpstr>
      <vt:lpstr>Máximo</vt:lpstr>
      <vt:lpstr>COMPLEMENTO</vt:lpstr>
      <vt:lpstr>Insumos</vt:lpstr>
      <vt:lpstr>CAPA!Area_de_impressao</vt:lpstr>
      <vt:lpstr>COMPLEMENTO!Area_de_impressao</vt:lpstr>
      <vt:lpstr>Final!Area_de_impressao</vt:lpstr>
      <vt:lpstr>Máximo!Area_de_impressao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Santiago</cp:lastModifiedBy>
  <cp:lastPrinted>2021-06-30T23:45:28Z</cp:lastPrinted>
  <dcterms:created xsi:type="dcterms:W3CDTF">2018-01-23T19:35:16Z</dcterms:created>
  <dcterms:modified xsi:type="dcterms:W3CDTF">2022-08-14T23:01:00Z</dcterms:modified>
</cp:coreProperties>
</file>