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ntiago\Google Drive\GERÊNCIA DE LICITAÇÃO\2021\PE 253-2021 - Serviço de Limpeza e Conservação\Anexos\"/>
    </mc:Choice>
  </mc:AlternateContent>
  <bookViews>
    <workbookView xWindow="0" yWindow="0" windowWidth="28800" windowHeight="12435" activeTab="1"/>
  </bookViews>
  <sheets>
    <sheet name="CONSOLIDAÇÃO" sheetId="3" r:id="rId1"/>
    <sheet name="Custo por trabalhador" sheetId="2" r:id="rId2"/>
    <sheet name="Complemento" sheetId="4" r:id="rId3"/>
    <sheet name="PROPOSTA GERAL" sheetId="5"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5" l="1"/>
  <c r="D18" i="5"/>
  <c r="D16" i="5"/>
  <c r="C396" i="2"/>
  <c r="D17" i="4"/>
  <c r="D18" i="4"/>
  <c r="E8" i="4"/>
  <c r="E18" i="4" s="1"/>
  <c r="F18" i="4" s="1"/>
  <c r="C51" i="3"/>
  <c r="C50" i="3"/>
  <c r="C49" i="3"/>
  <c r="C48" i="3"/>
  <c r="C35" i="3"/>
  <c r="D35" i="3" s="1"/>
  <c r="D41" i="3" s="1"/>
  <c r="C59" i="3" s="1"/>
  <c r="D34" i="3"/>
  <c r="D36" i="3"/>
  <c r="D37" i="3"/>
  <c r="D38" i="3"/>
  <c r="D39" i="3"/>
  <c r="D40" i="3"/>
  <c r="D33" i="3"/>
  <c r="C9" i="3"/>
  <c r="C16" i="3" s="1"/>
  <c r="E372" i="2" l="1"/>
  <c r="D372" i="2"/>
  <c r="E371" i="2"/>
  <c r="D371" i="2"/>
  <c r="E370" i="2"/>
  <c r="D370" i="2"/>
  <c r="E369" i="2"/>
  <c r="D369" i="2"/>
  <c r="C368" i="2"/>
  <c r="B368" i="2"/>
  <c r="C367" i="2"/>
  <c r="B367" i="2"/>
  <c r="B362" i="2"/>
  <c r="C362" i="2" s="1"/>
  <c r="D362" i="2" s="1"/>
  <c r="B361" i="2"/>
  <c r="C361" i="2" s="1"/>
  <c r="D361" i="2" s="1"/>
  <c r="D358" i="2"/>
  <c r="E358" i="2" s="1"/>
  <c r="E368" i="2" s="1"/>
  <c r="B358" i="2"/>
  <c r="D357" i="2"/>
  <c r="E357" i="2" s="1"/>
  <c r="B357" i="2"/>
  <c r="B352" i="2"/>
  <c r="C352" i="2" s="1"/>
  <c r="D352" i="2" s="1"/>
  <c r="B351" i="2"/>
  <c r="C351" i="2" s="1"/>
  <c r="D351" i="2" s="1"/>
  <c r="D348" i="2"/>
  <c r="E348" i="2" s="1"/>
  <c r="D368" i="2" s="1"/>
  <c r="B348" i="2"/>
  <c r="D347" i="2"/>
  <c r="E347" i="2" s="1"/>
  <c r="B347" i="2"/>
  <c r="D341" i="2"/>
  <c r="E341" i="2" s="1"/>
  <c r="B341" i="2"/>
  <c r="D340" i="2"/>
  <c r="E340" i="2" s="1"/>
  <c r="B340" i="2"/>
  <c r="D330" i="2"/>
  <c r="D328" i="2"/>
  <c r="D325" i="2"/>
  <c r="D324" i="2"/>
  <c r="D323" i="2"/>
  <c r="D179" i="2"/>
  <c r="F184" i="2" s="1"/>
  <c r="D178" i="2"/>
  <c r="F183" i="2" s="1"/>
  <c r="D174" i="2"/>
  <c r="E184" i="2" s="1"/>
  <c r="D173" i="2"/>
  <c r="E183" i="2" s="1"/>
  <c r="D169" i="2"/>
  <c r="D184" i="2" s="1"/>
  <c r="D168" i="2"/>
  <c r="D183" i="2" s="1"/>
  <c r="B135" i="2"/>
  <c r="B71" i="2"/>
  <c r="B70" i="2"/>
  <c r="E31" i="5"/>
  <c r="E30" i="5"/>
  <c r="E29" i="5"/>
  <c r="E19" i="5"/>
  <c r="E18" i="5"/>
  <c r="E17" i="5"/>
  <c r="E100" i="4"/>
  <c r="C100" i="4"/>
  <c r="F100" i="4" s="1"/>
  <c r="E99" i="4"/>
  <c r="C99" i="4"/>
  <c r="A99" i="4"/>
  <c r="E97" i="4"/>
  <c r="C97" i="4"/>
  <c r="F97" i="4" s="1"/>
  <c r="E96" i="4"/>
  <c r="D96" i="4"/>
  <c r="C96" i="4"/>
  <c r="F96" i="4" s="1"/>
  <c r="E90" i="4"/>
  <c r="C90" i="4"/>
  <c r="E89" i="4"/>
  <c r="C89" i="4"/>
  <c r="F89" i="4" s="1"/>
  <c r="A89" i="4"/>
  <c r="E87" i="4"/>
  <c r="C87" i="4"/>
  <c r="F87" i="4" s="1"/>
  <c r="E86" i="4"/>
  <c r="C86" i="4"/>
  <c r="F86" i="4" s="1"/>
  <c r="E81" i="4"/>
  <c r="C81" i="4"/>
  <c r="F81" i="4" s="1"/>
  <c r="E80" i="4"/>
  <c r="C80" i="4"/>
  <c r="F80" i="4" s="1"/>
  <c r="A80" i="4"/>
  <c r="E78" i="4"/>
  <c r="C78" i="4"/>
  <c r="E77" i="4"/>
  <c r="C77" i="4"/>
  <c r="D71" i="4"/>
  <c r="D70" i="4"/>
  <c r="D68" i="4"/>
  <c r="D67" i="4"/>
  <c r="D61" i="4"/>
  <c r="D60" i="4"/>
  <c r="D58" i="4"/>
  <c r="D57" i="4"/>
  <c r="D51" i="4"/>
  <c r="D50" i="4"/>
  <c r="D48" i="4"/>
  <c r="D47" i="4"/>
  <c r="D41" i="4"/>
  <c r="D40" i="4"/>
  <c r="D38" i="4"/>
  <c r="D37" i="4"/>
  <c r="D31" i="4"/>
  <c r="D30" i="4"/>
  <c r="D28" i="4"/>
  <c r="D27" i="4"/>
  <c r="D21" i="4"/>
  <c r="D20" i="4"/>
  <c r="D11" i="4"/>
  <c r="D10" i="4"/>
  <c r="D8" i="4"/>
  <c r="D7" i="4"/>
  <c r="F90" i="4" l="1"/>
  <c r="F99" i="4"/>
  <c r="F77" i="4"/>
  <c r="F78" i="4"/>
  <c r="F370" i="2"/>
  <c r="F372" i="2"/>
  <c r="F371" i="2"/>
  <c r="F369" i="2"/>
  <c r="E367" i="2"/>
  <c r="E359" i="2"/>
  <c r="D367" i="2"/>
  <c r="F367" i="2" s="1"/>
  <c r="E349" i="2"/>
  <c r="F368" i="2"/>
  <c r="D394" i="2" s="1"/>
  <c r="E342" i="2"/>
  <c r="C394" i="2" l="1"/>
  <c r="B353" i="2"/>
  <c r="C353" i="2" s="1"/>
  <c r="D353" i="2" s="1"/>
  <c r="B350" i="2"/>
  <c r="C350" i="2" s="1"/>
  <c r="D350" i="2" s="1"/>
  <c r="B360" i="2"/>
  <c r="C360" i="2" s="1"/>
  <c r="D360" i="2" s="1"/>
  <c r="B363" i="2"/>
  <c r="C363" i="2" s="1"/>
  <c r="D363" i="2" s="1"/>
  <c r="G78" i="4" l="1"/>
  <c r="H78" i="4" s="1"/>
  <c r="E11" i="4"/>
  <c r="F8" i="4"/>
  <c r="E38" i="4"/>
  <c r="E28" i="4"/>
  <c r="G81" i="4" l="1"/>
  <c r="F11" i="4"/>
  <c r="F28" i="4"/>
  <c r="E58" i="4"/>
  <c r="E31" i="4"/>
  <c r="F31" i="4" s="1"/>
  <c r="F38" i="4"/>
  <c r="E68" i="4"/>
  <c r="E41" i="4"/>
  <c r="F41" i="4" s="1"/>
  <c r="E48" i="4"/>
  <c r="E21" i="4"/>
  <c r="F21" i="4" s="1"/>
  <c r="E51" i="4" l="1"/>
  <c r="F51" i="4" s="1"/>
  <c r="F48" i="4"/>
  <c r="F58" i="4"/>
  <c r="E61" i="4"/>
  <c r="F61" i="4" s="1"/>
  <c r="E71" i="4"/>
  <c r="F71" i="4" s="1"/>
  <c r="F68" i="4"/>
  <c r="G87" i="4"/>
  <c r="H81" i="4"/>
  <c r="H87" i="4" l="1"/>
  <c r="G90" i="4"/>
  <c r="D28" i="5"/>
  <c r="H28" i="5" s="1"/>
  <c r="H16" i="5"/>
  <c r="D30" i="5"/>
  <c r="H30" i="5" s="1"/>
  <c r="H18" i="5"/>
  <c r="G97" i="4" l="1"/>
  <c r="H90" i="4"/>
  <c r="H97" i="4" l="1"/>
  <c r="G100" i="4"/>
  <c r="H100" i="4" s="1"/>
  <c r="C157" i="2" l="1"/>
  <c r="D42" i="2"/>
  <c r="C29" i="2"/>
  <c r="C30" i="2" s="1"/>
  <c r="C31" i="2" s="1"/>
  <c r="C32" i="2" s="1"/>
  <c r="C33" i="2" s="1"/>
  <c r="C114" i="2" l="1"/>
  <c r="D33" i="2" l="1"/>
  <c r="D32" i="2"/>
  <c r="D31" i="2"/>
  <c r="D30" i="2"/>
  <c r="D29" i="2"/>
  <c r="D28" i="2"/>
  <c r="C384" i="2" l="1"/>
  <c r="C383" i="2"/>
  <c r="B21" i="2" l="1"/>
  <c r="D21" i="2" s="1"/>
  <c r="D45" i="2"/>
  <c r="D46" i="2"/>
  <c r="B110" i="2" l="1"/>
  <c r="C304" i="2" l="1"/>
  <c r="C252" i="2"/>
  <c r="C251" i="2"/>
  <c r="C211" i="2"/>
  <c r="C152" i="2"/>
  <c r="C151" i="2"/>
  <c r="D151" i="2" s="1"/>
  <c r="B156" i="2" s="1"/>
  <c r="D156" i="2" s="1"/>
  <c r="C161" i="2" s="1"/>
  <c r="B140" i="2"/>
  <c r="E140" i="2" s="1"/>
  <c r="C145" i="2" s="1"/>
  <c r="B139" i="2"/>
  <c r="E139" i="2" s="1"/>
  <c r="C144" i="2" s="1"/>
  <c r="E134" i="2"/>
  <c r="B144" i="2" s="1"/>
  <c r="C135" i="2"/>
  <c r="C120" i="2"/>
  <c r="C119" i="2"/>
  <c r="C115" i="2"/>
  <c r="E135" i="2" l="1"/>
  <c r="B145" i="2" s="1"/>
  <c r="D145" i="2" s="1"/>
  <c r="B184" i="2" s="1"/>
  <c r="C221" i="2"/>
  <c r="D144" i="2"/>
  <c r="B183" i="2" s="1"/>
  <c r="C47" i="3" s="1"/>
  <c r="C52" i="3" s="1"/>
  <c r="C60" i="3" s="1"/>
  <c r="C238" i="2"/>
  <c r="C239" i="2"/>
  <c r="C220" i="2"/>
  <c r="D152" i="2"/>
  <c r="B161" i="2"/>
  <c r="D161" i="2" s="1"/>
  <c r="C183" i="2" s="1"/>
  <c r="C80" i="2"/>
  <c r="C79" i="2"/>
  <c r="D90" i="2"/>
  <c r="D89" i="2"/>
  <c r="C90" i="2"/>
  <c r="C89" i="2"/>
  <c r="C85" i="2"/>
  <c r="C84" i="2"/>
  <c r="F71" i="2"/>
  <c r="F70" i="2"/>
  <c r="C46" i="2"/>
  <c r="C45" i="2"/>
  <c r="C42" i="2"/>
  <c r="C41" i="2"/>
  <c r="D20" i="2"/>
  <c r="D70" i="2"/>
  <c r="G183" i="2" l="1"/>
  <c r="D190" i="2" s="1"/>
  <c r="C71" i="2"/>
  <c r="C70" i="2"/>
  <c r="G70" i="2" s="1"/>
  <c r="C390" i="2" s="1"/>
  <c r="B45" i="2"/>
  <c r="E45" i="2" s="1"/>
  <c r="C50" i="2" s="1"/>
  <c r="B46" i="2"/>
  <c r="E46" i="2" s="1"/>
  <c r="C51" i="2" s="1"/>
  <c r="B157" i="2"/>
  <c r="D157" i="2" s="1"/>
  <c r="C162" i="2" s="1"/>
  <c r="B162" i="2"/>
  <c r="E279" i="2"/>
  <c r="D295" i="2" s="1"/>
  <c r="D278" i="2"/>
  <c r="E278" i="2" s="1"/>
  <c r="D294" i="2" s="1"/>
  <c r="D277" i="2"/>
  <c r="E277" i="2" s="1"/>
  <c r="D293" i="2" s="1"/>
  <c r="E276" i="2"/>
  <c r="D292" i="2" s="1"/>
  <c r="E275" i="2"/>
  <c r="D291" i="2" s="1"/>
  <c r="E274" i="2"/>
  <c r="D290" i="2" s="1"/>
  <c r="D273" i="2"/>
  <c r="E273" i="2" s="1"/>
  <c r="D289" i="2" s="1"/>
  <c r="E272" i="2"/>
  <c r="D288" i="2" s="1"/>
  <c r="D271" i="2"/>
  <c r="E271" i="2" s="1"/>
  <c r="D287" i="2" s="1"/>
  <c r="D270" i="2"/>
  <c r="E270" i="2" s="1"/>
  <c r="D286" i="2" s="1"/>
  <c r="E269" i="2"/>
  <c r="D285" i="2" s="1"/>
  <c r="D268" i="2"/>
  <c r="E268" i="2" s="1"/>
  <c r="D284" i="2" s="1"/>
  <c r="B203" i="2"/>
  <c r="D71" i="2" l="1"/>
  <c r="B41" i="2"/>
  <c r="E41" i="2" s="1"/>
  <c r="B50" i="2" s="1"/>
  <c r="D50" i="2" s="1"/>
  <c r="D162" i="2"/>
  <c r="B79" i="2"/>
  <c r="D79" i="2" s="1"/>
  <c r="B246" i="2" s="1"/>
  <c r="B84" i="2"/>
  <c r="D84" i="2" s="1"/>
  <c r="C94" i="2" s="1"/>
  <c r="C26" i="3" s="1"/>
  <c r="B89" i="2"/>
  <c r="E89" i="2" s="1"/>
  <c r="D246" i="2" s="1"/>
  <c r="B42" i="2"/>
  <c r="E42" i="2" s="1"/>
  <c r="B51" i="2" s="1"/>
  <c r="D51" i="2" s="1"/>
  <c r="D296" i="2"/>
  <c r="C309" i="2" l="1"/>
  <c r="C308" i="2"/>
  <c r="C184" i="2"/>
  <c r="G184" i="2" s="1"/>
  <c r="D191" i="2" s="1"/>
  <c r="G71" i="2"/>
  <c r="D390" i="2" s="1"/>
  <c r="C246" i="2"/>
  <c r="E246" i="2" s="1"/>
  <c r="B251" i="2" s="1"/>
  <c r="D251" i="2" s="1"/>
  <c r="D258" i="2" s="1"/>
  <c r="B94" i="2"/>
  <c r="C24" i="3" s="1"/>
  <c r="C27" i="3" s="1"/>
  <c r="C58" i="3" s="1"/>
  <c r="C61" i="3" s="1"/>
  <c r="D94" i="2"/>
  <c r="C25" i="3" s="1"/>
  <c r="B296" i="2"/>
  <c r="C296" i="2"/>
  <c r="B85" i="2" l="1"/>
  <c r="D85" i="2" s="1"/>
  <c r="C247" i="2" s="1"/>
  <c r="B90" i="2"/>
  <c r="E90" i="2" s="1"/>
  <c r="D95" i="2" s="1"/>
  <c r="B80" i="2"/>
  <c r="D80" i="2" s="1"/>
  <c r="B95" i="2" s="1"/>
  <c r="E94" i="2"/>
  <c r="B119" i="2" s="1"/>
  <c r="D119" i="2" s="1"/>
  <c r="B215" i="2" s="1"/>
  <c r="D247" i="2" l="1"/>
  <c r="C95" i="2"/>
  <c r="E95" i="2" s="1"/>
  <c r="B115" i="2" s="1"/>
  <c r="D115" i="2" s="1"/>
  <c r="B125" i="2" s="1"/>
  <c r="B247" i="2"/>
  <c r="B190" i="2"/>
  <c r="B114" i="2"/>
  <c r="D114" i="2" s="1"/>
  <c r="B124" i="2" s="1"/>
  <c r="D215" i="2"/>
  <c r="B233" i="2"/>
  <c r="D233" i="2" s="1"/>
  <c r="C124" i="2"/>
  <c r="E247" i="2" l="1"/>
  <c r="B252" i="2" s="1"/>
  <c r="D252" i="2" s="1"/>
  <c r="D259" i="2" s="1"/>
  <c r="D124" i="2"/>
  <c r="C190" i="2" s="1"/>
  <c r="E190" i="2" s="1"/>
  <c r="B120" i="2"/>
  <c r="D120" i="2" s="1"/>
  <c r="B191" i="2"/>
  <c r="B228" i="2" l="1"/>
  <c r="D228" i="2" s="1"/>
  <c r="B238" i="2" s="1"/>
  <c r="D238" i="2" s="1"/>
  <c r="C258" i="2" s="1"/>
  <c r="C391" i="2"/>
  <c r="B216" i="2"/>
  <c r="D216" i="2" s="1"/>
  <c r="B210" i="2"/>
  <c r="D210" i="2" s="1"/>
  <c r="B220" i="2" s="1"/>
  <c r="D220" i="2" s="1"/>
  <c r="B258" i="2" s="1"/>
  <c r="C125" i="2"/>
  <c r="D125" i="2" s="1"/>
  <c r="C191" i="2" s="1"/>
  <c r="E191" i="2" s="1"/>
  <c r="D391" i="2" s="1"/>
  <c r="B234" i="2"/>
  <c r="D234" i="2" s="1"/>
  <c r="E258" i="2" l="1"/>
  <c r="C392" i="2" s="1"/>
  <c r="B303" i="2"/>
  <c r="D303" i="2" s="1"/>
  <c r="B308" i="2" s="1"/>
  <c r="D308" i="2" s="1"/>
  <c r="E308" i="2" s="1"/>
  <c r="B316" i="2" s="1"/>
  <c r="D316" i="2" s="1"/>
  <c r="B229" i="2"/>
  <c r="D229" i="2" s="1"/>
  <c r="B239" i="2" s="1"/>
  <c r="D239" i="2" s="1"/>
  <c r="C259" i="2" s="1"/>
  <c r="B211" i="2"/>
  <c r="D211" i="2" s="1"/>
  <c r="B221" i="2" s="1"/>
  <c r="D221" i="2" s="1"/>
  <c r="B259" i="2" s="1"/>
  <c r="C393" i="2" l="1"/>
  <c r="B383" i="2"/>
  <c r="E259" i="2"/>
  <c r="D392" i="2" s="1"/>
  <c r="B304" i="2" l="1"/>
  <c r="D304" i="2" s="1"/>
  <c r="B309" i="2" s="1"/>
  <c r="D309" i="2" s="1"/>
  <c r="E309" i="2" s="1"/>
  <c r="B317" i="2" s="1"/>
  <c r="D317" i="2" s="1"/>
  <c r="D383" i="2"/>
  <c r="C395" i="2" s="1"/>
  <c r="D393" i="2" l="1"/>
  <c r="B384" i="2"/>
  <c r="D384" i="2" s="1"/>
  <c r="D395" i="2" s="1"/>
  <c r="C397" i="2" l="1"/>
  <c r="E7" i="4" s="1"/>
  <c r="E17" i="4" l="1"/>
  <c r="E10" i="4"/>
  <c r="G77" i="4"/>
  <c r="H77" i="4" s="1"/>
  <c r="H79" i="4" s="1"/>
  <c r="F7" i="4"/>
  <c r="F9" i="4" s="1"/>
  <c r="E27" i="4"/>
  <c r="E37" i="4"/>
  <c r="D396" i="2"/>
  <c r="D397" i="2" s="1"/>
  <c r="F17" i="4" l="1"/>
  <c r="F19" i="4" s="1"/>
  <c r="E47" i="4"/>
  <c r="E20" i="4"/>
  <c r="F20" i="4" s="1"/>
  <c r="F22" i="4" s="1"/>
  <c r="D11" i="5" s="1"/>
  <c r="E30" i="4"/>
  <c r="F30" i="4" s="1"/>
  <c r="F32" i="4" s="1"/>
  <c r="D12" i="5" s="1"/>
  <c r="F27" i="4"/>
  <c r="F29" i="4" s="1"/>
  <c r="E57" i="4"/>
  <c r="E67" i="4"/>
  <c r="F37" i="4"/>
  <c r="F39" i="4" s="1"/>
  <c r="E40" i="4"/>
  <c r="F40" i="4" s="1"/>
  <c r="F42" i="4" s="1"/>
  <c r="D13" i="5" s="1"/>
  <c r="G80" i="4"/>
  <c r="F10" i="4"/>
  <c r="F12" i="4" s="1"/>
  <c r="D10" i="5" s="1"/>
  <c r="H13" i="5" l="1"/>
  <c r="D25" i="5"/>
  <c r="H25" i="5" s="1"/>
  <c r="D24" i="5"/>
  <c r="H24" i="5" s="1"/>
  <c r="H12" i="5"/>
  <c r="F67" i="4"/>
  <c r="F69" i="4" s="1"/>
  <c r="E70" i="4"/>
  <c r="F70" i="4" s="1"/>
  <c r="F72" i="4" s="1"/>
  <c r="F57" i="4"/>
  <c r="F59" i="4" s="1"/>
  <c r="E60" i="4"/>
  <c r="F60" i="4" s="1"/>
  <c r="F62" i="4" s="1"/>
  <c r="D15" i="5" s="1"/>
  <c r="D22" i="5"/>
  <c r="H22" i="5" s="1"/>
  <c r="H10" i="5"/>
  <c r="D23" i="5"/>
  <c r="H23" i="5" s="1"/>
  <c r="H11" i="5"/>
  <c r="H80" i="4"/>
  <c r="H82" i="4" s="1"/>
  <c r="G86" i="4"/>
  <c r="E50" i="4"/>
  <c r="F50" i="4" s="1"/>
  <c r="F52" i="4" s="1"/>
  <c r="D14" i="5" s="1"/>
  <c r="F47" i="4"/>
  <c r="F49" i="4" s="1"/>
  <c r="H17" i="5" l="1"/>
  <c r="D29" i="5"/>
  <c r="H29" i="5" s="1"/>
  <c r="D27" i="5"/>
  <c r="H27" i="5" s="1"/>
  <c r="H15" i="5"/>
  <c r="H14" i="5"/>
  <c r="D26" i="5"/>
  <c r="H26" i="5" s="1"/>
  <c r="G89" i="4"/>
  <c r="H86" i="4"/>
  <c r="H88" i="4" s="1"/>
  <c r="G96" i="4" l="1"/>
  <c r="H89" i="4"/>
  <c r="H91" i="4" s="1"/>
  <c r="G99" i="4" l="1"/>
  <c r="H99" i="4" s="1"/>
  <c r="H101" i="4" s="1"/>
  <c r="D19" i="5" s="1"/>
  <c r="H96" i="4"/>
  <c r="H98" i="4" s="1"/>
  <c r="D31" i="5" l="1"/>
  <c r="H31" i="5" s="1"/>
  <c r="H32" i="5" s="1"/>
  <c r="H19" i="5"/>
  <c r="H20" i="5" s="1"/>
  <c r="H21" i="5" s="1"/>
  <c r="H33" i="5" l="1"/>
  <c r="H35" i="5" s="1"/>
  <c r="H34" i="5"/>
</calcChain>
</file>

<file path=xl/comments1.xml><?xml version="1.0" encoding="utf-8"?>
<comments xmlns="http://schemas.openxmlformats.org/spreadsheetml/2006/main">
  <authors>
    <author>Scheyla Cristina de Souza Belmiro do Amaral</author>
  </authors>
  <commentList>
    <comment ref="B12" authorId="0" shapeId="0">
      <text>
        <r>
          <rPr>
            <b/>
            <sz val="9"/>
            <color indexed="81"/>
            <rFont val="Segoe UI"/>
            <family val="2"/>
          </rPr>
          <t xml:space="preserve">Seges: </t>
        </r>
        <r>
          <rPr>
            <sz val="9"/>
            <color indexed="81"/>
            <rFont val="Segoe UI"/>
            <family val="2"/>
          </rPr>
          <t xml:space="preserve">Informar salário base conforme Convenção Coletiva de Trabalho vigente para a categoria e no município de prestação do serviço.
</t>
        </r>
      </text>
    </comment>
    <comment ref="C20" authorId="0" shapeId="0">
      <text>
        <r>
          <rPr>
            <b/>
            <sz val="9"/>
            <color indexed="81"/>
            <rFont val="Segoe UI"/>
            <charset val="1"/>
          </rPr>
          <t xml:space="preserve">Seges: </t>
        </r>
        <r>
          <rPr>
            <sz val="9"/>
            <color indexed="81"/>
            <rFont val="Segoe UI"/>
            <family val="2"/>
          </rPr>
          <t>Percentual conforme definido em CCT, se houver gratificação de função.</t>
        </r>
        <r>
          <rPr>
            <sz val="9"/>
            <color indexed="81"/>
            <rFont val="Segoe UI"/>
            <charset val="1"/>
          </rPr>
          <t xml:space="preserve">
</t>
        </r>
      </text>
    </comment>
    <comment ref="C28" authorId="0" shapeId="0">
      <text>
        <r>
          <rPr>
            <b/>
            <sz val="9"/>
            <color indexed="81"/>
            <rFont val="Segoe UI"/>
            <family val="2"/>
          </rPr>
          <t xml:space="preserve">Seges: </t>
        </r>
        <r>
          <rPr>
            <sz val="9"/>
            <color indexed="81"/>
            <rFont val="Segoe UI"/>
            <family val="2"/>
          </rPr>
          <t>Percentual conforme definido em CCT, quando houver adicional de periculosidade ou insabubridade</t>
        </r>
      </text>
    </comment>
    <comment ref="C41" authorId="0" shapeId="0">
      <text>
        <r>
          <rPr>
            <b/>
            <sz val="9"/>
            <color indexed="81"/>
            <rFont val="Segoe UI"/>
            <family val="2"/>
          </rPr>
          <t xml:space="preserve">Seges: </t>
        </r>
        <r>
          <rPr>
            <sz val="9"/>
            <color indexed="81"/>
            <rFont val="Segoe UI"/>
            <family val="2"/>
          </rPr>
          <t xml:space="preserve">Considera hora noturna de 22h às 5h do dia segunte, portanto 7 horas noturnas de uma jornada de 12h. </t>
        </r>
      </text>
    </comment>
    <comment ref="C45" authorId="0" shapeId="0">
      <text>
        <r>
          <rPr>
            <b/>
            <sz val="9"/>
            <color indexed="81"/>
            <rFont val="Segoe UI"/>
            <family val="2"/>
          </rPr>
          <t>Seges:</t>
        </r>
        <r>
          <rPr>
            <sz val="9"/>
            <color indexed="81"/>
            <rFont val="Segoe UI"/>
            <family val="2"/>
          </rPr>
          <t xml:space="preserve">
A título de pagamento adicional computa-se o pagamento de 7min e 30 s a cada hora noturna, por 7 horas, totalizando 52min e 30 s, que significa 1 hora da jornada de 12h.
</t>
        </r>
      </text>
    </comment>
    <comment ref="D45" authorId="0" shapeId="0">
      <text>
        <r>
          <rPr>
            <b/>
            <sz val="9"/>
            <color indexed="81"/>
            <rFont val="Segoe UI"/>
            <family val="2"/>
          </rPr>
          <t>Seges:</t>
        </r>
        <r>
          <rPr>
            <sz val="9"/>
            <color indexed="81"/>
            <rFont val="Segoe UI"/>
            <family val="2"/>
          </rPr>
          <t xml:space="preserve"> Por tratar-se de hora considerada a mais, calcula-se pagamento de 100% da hora, acrescida do respectivo adicional noturno.</t>
        </r>
      </text>
    </comment>
    <comment ref="A48" authorId="0" shapeId="0">
      <text>
        <r>
          <rPr>
            <b/>
            <sz val="9"/>
            <color indexed="81"/>
            <rFont val="Segoe UI"/>
            <family val="2"/>
          </rPr>
          <t xml:space="preserve">Seges: </t>
        </r>
        <r>
          <rPr>
            <sz val="9"/>
            <color indexed="81"/>
            <rFont val="Segoe UI"/>
            <family val="2"/>
          </rPr>
          <t>Tabela resumo da totalização do Adicional noturno.
Automatizada, desde que não haja alterações de fórmulas ou estrutura da planilha.</t>
        </r>
      </text>
    </comment>
    <comment ref="A68" authorId="0" shapeId="0">
      <text>
        <r>
          <rPr>
            <b/>
            <sz val="9"/>
            <color indexed="81"/>
            <rFont val="Segoe UI"/>
            <family val="2"/>
          </rPr>
          <t xml:space="preserve">Seges: </t>
        </r>
        <r>
          <rPr>
            <sz val="9"/>
            <color indexed="81"/>
            <rFont val="Segoe UI"/>
            <family val="2"/>
          </rPr>
          <t xml:space="preserve">Automatizada, desde que não haja alterações de fórmulas ou estrutura da planilha.
</t>
        </r>
      </text>
    </comment>
    <comment ref="C78" authorId="0" shapeId="0">
      <text>
        <r>
          <rPr>
            <b/>
            <sz val="9"/>
            <color indexed="81"/>
            <rFont val="Segoe UI"/>
            <family val="2"/>
          </rPr>
          <t xml:space="preserve">Seges: </t>
        </r>
        <r>
          <rPr>
            <sz val="9"/>
            <color indexed="81"/>
            <rFont val="Segoe UI"/>
            <family val="2"/>
          </rPr>
          <t>Por tratar-se de planilha mensal será contabilizado 1/12 avos do custo.</t>
        </r>
      </text>
    </comment>
    <comment ref="A82" authorId="0" shapeId="0">
      <text>
        <r>
          <rPr>
            <b/>
            <sz val="9"/>
            <color indexed="81"/>
            <rFont val="Segoe UI"/>
            <family val="2"/>
          </rPr>
          <t xml:space="preserve">Seges: </t>
        </r>
        <r>
          <rPr>
            <sz val="9"/>
            <color indexed="81"/>
            <rFont val="Segoe UI"/>
            <family val="2"/>
          </rPr>
          <t xml:space="preserve">Observações importantes: 
1ª - Levando em consideração a vigência contratual prevista no art. 57 da Lei nº 8.666, de 23 de junho de 1993, a referida rubrica tem como principal objetivo suprir a necessidade no final do contrato de 12 meses o pagamento ao direito às férias remuneradas, na forma prevista na Consolidação das Leis do Trabalho. Esta rubrica, quando da prorrogação contratual, torna-se objeto de custo não renovável. 
2ª - Deve ser ponderado pelo gestor no momento da composição de custos, a necessidade ou não da inclusão dessa rubrica, observada nesses casos sempre a duração do contrato. Caso seja firmado contrato com duração superior a 12 meses, sugere-se a exclusão dessa rubrica.
</t>
        </r>
      </text>
    </comment>
    <comment ref="C89" authorId="0" shapeId="0">
      <text>
        <r>
          <rPr>
            <b/>
            <sz val="9"/>
            <color indexed="81"/>
            <rFont val="Segoe UI"/>
            <family val="2"/>
          </rPr>
          <t>Seges:</t>
        </r>
        <r>
          <rPr>
            <sz val="9"/>
            <color indexed="81"/>
            <rFont val="Segoe UI"/>
            <family val="2"/>
          </rPr>
          <t xml:space="preserve"> Corresponde ao previsto na Constituição. Adicional de 1/3 a mais do salário normal.
</t>
        </r>
      </text>
    </comment>
    <comment ref="A92" authorId="0" shapeId="0">
      <text>
        <r>
          <rPr>
            <b/>
            <sz val="9"/>
            <color indexed="81"/>
            <rFont val="Segoe UI"/>
            <family val="2"/>
          </rPr>
          <t xml:space="preserve">Seges: </t>
        </r>
        <r>
          <rPr>
            <sz val="9"/>
            <color indexed="81"/>
            <rFont val="Segoe UI"/>
            <family val="2"/>
          </rPr>
          <t xml:space="preserve">apenas totaliza a previsão mensal de custos com 13° Salário, Férias e Adicional de Férias.
</t>
        </r>
      </text>
    </comment>
    <comment ref="B104" authorId="0" shapeId="0">
      <text>
        <r>
          <rPr>
            <b/>
            <sz val="9"/>
            <color indexed="81"/>
            <rFont val="Segoe UI"/>
            <family val="2"/>
          </rPr>
          <t xml:space="preserve">Seges: </t>
        </r>
        <r>
          <rPr>
            <sz val="9"/>
            <color indexed="81"/>
            <rFont val="Segoe UI"/>
            <family val="2"/>
          </rPr>
          <t xml:space="preserve">Informar o percentual adequado à categoria profissional a ser contratada para a prestação do serviço.
</t>
        </r>
      </text>
    </comment>
    <comment ref="C114" authorId="0" shapeId="0">
      <text>
        <r>
          <rPr>
            <b/>
            <sz val="9"/>
            <color indexed="81"/>
            <rFont val="Segoe UI"/>
            <family val="2"/>
          </rPr>
          <t xml:space="preserve">Seges: </t>
        </r>
        <r>
          <rPr>
            <sz val="9"/>
            <color indexed="81"/>
            <rFont val="Segoe UI"/>
            <family val="2"/>
          </rPr>
          <t xml:space="preserve">Corresponde ao somatório dos encargos para financiamento da seguridade social.
O percentual será alterado quando do preenchimento da aliquota do SAT/GIIL-RAT
</t>
        </r>
      </text>
    </comment>
    <comment ref="C119" authorId="0" shapeId="0">
      <text>
        <r>
          <rPr>
            <b/>
            <sz val="9"/>
            <color indexed="81"/>
            <rFont val="Segoe UI"/>
            <family val="2"/>
          </rPr>
          <t xml:space="preserve">Seges: </t>
        </r>
        <r>
          <rPr>
            <sz val="9"/>
            <color indexed="81"/>
            <rFont val="Segoe UI"/>
            <family val="2"/>
          </rPr>
          <t xml:space="preserve">Alíquota mensal de depóstio à título de FGTS, conforme Lei n° 8.036, de 1990.
</t>
        </r>
      </text>
    </comment>
    <comment ref="A122" authorId="0" shapeId="0">
      <text>
        <r>
          <rPr>
            <b/>
            <sz val="9"/>
            <color indexed="81"/>
            <rFont val="Segoe UI"/>
            <family val="2"/>
          </rPr>
          <t xml:space="preserve">Seges: </t>
        </r>
        <r>
          <rPr>
            <sz val="9"/>
            <color indexed="81"/>
            <rFont val="Segoe UI"/>
            <family val="2"/>
          </rPr>
          <t xml:space="preserve">Totalização dos Encargos. Automatizada, desde que não haja alteração nas fórmulas e estrutura da planilha.
</t>
        </r>
      </text>
    </comment>
    <comment ref="B133" authorId="0" shapeId="0">
      <text>
        <r>
          <rPr>
            <b/>
            <sz val="9"/>
            <color indexed="81"/>
            <rFont val="Segoe UI"/>
            <family val="2"/>
          </rPr>
          <t xml:space="preserve">Seges: </t>
        </r>
        <r>
          <rPr>
            <sz val="9"/>
            <color indexed="81"/>
            <rFont val="Segoe UI"/>
            <family val="2"/>
          </rPr>
          <t xml:space="preserve">Valor da tarifa de transporte público praticada no município de prestação do serviço.
</t>
        </r>
      </text>
    </comment>
    <comment ref="D134" authorId="0" shapeId="0">
      <text>
        <r>
          <rPr>
            <b/>
            <sz val="9"/>
            <color indexed="81"/>
            <rFont val="Segoe UI"/>
            <family val="2"/>
          </rPr>
          <t xml:space="preserve">Seges: </t>
        </r>
        <r>
          <rPr>
            <sz val="9"/>
            <color indexed="81"/>
            <rFont val="Segoe UI"/>
            <family val="2"/>
          </rPr>
          <t xml:space="preserve">apenas sugerido, depende de disposições constantes na CCT.
</t>
        </r>
      </text>
    </comment>
    <comment ref="C138" authorId="0" shapeId="0">
      <text>
        <r>
          <rPr>
            <b/>
            <sz val="9"/>
            <color indexed="81"/>
            <rFont val="Segoe UI"/>
            <family val="2"/>
          </rPr>
          <t xml:space="preserve">Seges: exemplificativo... </t>
        </r>
        <r>
          <rPr>
            <sz val="9"/>
            <color indexed="81"/>
            <rFont val="Segoe UI"/>
            <family val="2"/>
          </rPr>
          <t xml:space="preserve">O desconto poderá ser proporcional, conforme disposto no art. 10 do Decreto n° 95.247, de 1987.
O órgão contatante deverá apreciar o comportamento das empresas prestadoras de serviço e ajustar, conforme necessidade.
</t>
        </r>
      </text>
    </comment>
    <comment ref="B150" authorId="0" shapeId="0">
      <text>
        <r>
          <rPr>
            <b/>
            <sz val="9"/>
            <color indexed="81"/>
            <rFont val="Segoe UI"/>
            <family val="2"/>
          </rPr>
          <t xml:space="preserve">Seges: </t>
        </r>
        <r>
          <rPr>
            <sz val="9"/>
            <color indexed="81"/>
            <rFont val="Segoe UI"/>
            <family val="2"/>
          </rPr>
          <t xml:space="preserve">Conforme estabelecido em Convenção Coletiva de Trabalho
</t>
        </r>
      </text>
    </comment>
    <comment ref="C151" authorId="0" shapeId="0">
      <text>
        <r>
          <rPr>
            <b/>
            <sz val="9"/>
            <color indexed="81"/>
            <rFont val="Segoe UI"/>
            <family val="2"/>
          </rPr>
          <t xml:space="preserve">Seges: </t>
        </r>
        <r>
          <rPr>
            <sz val="9"/>
            <color indexed="81"/>
            <rFont val="Segoe UI"/>
            <family val="2"/>
          </rPr>
          <t xml:space="preserve">apenas sugerido, depende de disposições constantes na CCT.
</t>
        </r>
      </text>
    </comment>
    <comment ref="C155" authorId="0" shapeId="0">
      <text>
        <r>
          <rPr>
            <b/>
            <sz val="9"/>
            <color indexed="81"/>
            <rFont val="Segoe UI"/>
            <family val="2"/>
          </rPr>
          <t xml:space="preserve">Seges: </t>
        </r>
        <r>
          <rPr>
            <sz val="9"/>
            <color indexed="81"/>
            <rFont val="Segoe UI"/>
            <family val="2"/>
          </rPr>
          <t xml:space="preserve">Observar desconto informado em Convenção Coletiva.
</t>
        </r>
      </text>
    </comment>
    <comment ref="B156" authorId="0" shapeId="0">
      <text>
        <r>
          <rPr>
            <b/>
            <sz val="9"/>
            <color indexed="81"/>
            <rFont val="Segoe UI"/>
            <family val="2"/>
          </rPr>
          <t xml:space="preserve">Seges: </t>
        </r>
        <r>
          <rPr>
            <sz val="9"/>
            <color indexed="81"/>
            <rFont val="Segoe UI"/>
            <family val="2"/>
          </rPr>
          <t>Observar Convenção Coletiva sobre base de cálculo, habitualmente o desconto é sobre o valor do benefício concedido.</t>
        </r>
      </text>
    </comment>
    <comment ref="A181" authorId="0" shapeId="0">
      <text>
        <r>
          <rPr>
            <b/>
            <sz val="9"/>
            <color indexed="81"/>
            <rFont val="Segoe UI"/>
            <family val="2"/>
          </rPr>
          <t xml:space="preserve">Seges: </t>
        </r>
        <r>
          <rPr>
            <sz val="9"/>
            <color indexed="81"/>
            <rFont val="Segoe UI"/>
            <family val="2"/>
          </rPr>
          <t>Apenas totaliza os custos efetivos com benefícios mensais do trabalhador.
Automatizada, desde que não haja alteração de fórmulas ou estrutura da planilha</t>
        </r>
      </text>
    </comment>
    <comment ref="A188" authorId="0" shapeId="0">
      <text>
        <r>
          <rPr>
            <b/>
            <sz val="9"/>
            <color indexed="81"/>
            <rFont val="Segoe UI"/>
            <family val="2"/>
          </rPr>
          <t xml:space="preserve">Seges: </t>
        </r>
        <r>
          <rPr>
            <sz val="9"/>
            <color indexed="81"/>
            <rFont val="Segoe UI"/>
            <family val="2"/>
          </rPr>
          <t xml:space="preserve">Totaliza o módulo 2, com somatória de 13° salário, férias, adicional, encargos e benefícios.
</t>
        </r>
      </text>
    </comment>
    <comment ref="A256" authorId="0" shapeId="0">
      <text>
        <r>
          <rPr>
            <b/>
            <sz val="9"/>
            <color indexed="81"/>
            <rFont val="Segoe UI"/>
            <family val="2"/>
          </rPr>
          <t>Seges:</t>
        </r>
        <r>
          <rPr>
            <sz val="9"/>
            <color indexed="81"/>
            <rFont val="Segoe UI"/>
            <family val="2"/>
          </rPr>
          <t xml:space="preserve">
Totaliza o custo estimado a ser provisionado mensalmente. Está automatizada, desde que não haja alteração de fórmulas e/ou estrutura da planilha.</t>
        </r>
      </text>
    </comment>
    <comment ref="B266" authorId="0" shapeId="0">
      <text>
        <r>
          <rPr>
            <b/>
            <sz val="9"/>
            <color indexed="81"/>
            <rFont val="Segoe UI"/>
            <family val="2"/>
          </rPr>
          <t xml:space="preserve">Seges: </t>
        </r>
        <r>
          <rPr>
            <sz val="9"/>
            <color indexed="81"/>
            <rFont val="Segoe UI"/>
            <family val="2"/>
          </rPr>
          <t xml:space="preserve">Probabilidade de ocorrência de ausência do profissional residente quando será necessária a presença de um repositor. O órgão deverá observar o histórico das contratações anteriores para estimar tais probabilidades.
</t>
        </r>
      </text>
    </comment>
    <comment ref="C266" authorId="0" shapeId="0">
      <text>
        <r>
          <rPr>
            <b/>
            <sz val="9"/>
            <color indexed="81"/>
            <rFont val="Segoe UI"/>
            <family val="2"/>
          </rPr>
          <t xml:space="preserve">Segesl: </t>
        </r>
        <r>
          <rPr>
            <sz val="9"/>
            <color indexed="81"/>
            <rFont val="Segoe UI"/>
            <family val="2"/>
          </rPr>
          <t xml:space="preserve">Duração computada em dias, conforme previsão em legislação.
</t>
        </r>
      </text>
    </comment>
    <comment ref="A281" authorId="0" shapeId="0">
      <text>
        <r>
          <rPr>
            <b/>
            <sz val="9"/>
            <color indexed="81"/>
            <rFont val="Segoe UI"/>
            <family val="2"/>
          </rPr>
          <t xml:space="preserve">Seges: </t>
        </r>
        <r>
          <rPr>
            <sz val="9"/>
            <color indexed="81"/>
            <rFont val="Segoe UI"/>
            <family val="2"/>
          </rPr>
          <t>Esta tabela apresenta o resumo dos dias prováveis de ausência, quando seria necessária a presença de um profissional repositor.
Seu cálculo está automatizado mediante preenchimento da tabela anterior.</t>
        </r>
      </text>
    </comment>
    <comment ref="A284" authorId="0" shapeId="0">
      <text>
        <r>
          <rPr>
            <b/>
            <sz val="9"/>
            <color indexed="81"/>
            <rFont val="Segoe UI"/>
            <family val="2"/>
          </rPr>
          <t xml:space="preserve">Seges: </t>
        </r>
        <r>
          <rPr>
            <sz val="9"/>
            <color indexed="81"/>
            <rFont val="Segoe UI"/>
            <family val="2"/>
          </rPr>
          <t xml:space="preserve">este ítem destina-se ao cálculo do custo do empregado substituto que virá cobrir o período de férias do residente, portanto, não se confunde com o direito ao pagamento de férias daquele.
Desde que não haja alteração de fórmulas e/ou estrutura da planilha.
</t>
        </r>
      </text>
    </comment>
    <comment ref="A306" authorId="0" shapeId="0">
      <text>
        <r>
          <rPr>
            <b/>
            <sz val="9"/>
            <color indexed="81"/>
            <rFont val="Segoe UI"/>
            <family val="2"/>
          </rPr>
          <t xml:space="preserve">Seges: </t>
        </r>
        <r>
          <rPr>
            <sz val="9"/>
            <color indexed="81"/>
            <rFont val="Segoe UI"/>
            <family val="2"/>
          </rPr>
          <t xml:space="preserve">Tabela automatizada para cálculo do custo mensal com reposição do profissional ausente, mediante preenchimento das anteriores. Desde que não haja alteração de fórmulas e/ou estrutura da planilha.
</t>
        </r>
      </text>
    </comment>
    <comment ref="A314" authorId="0" shapeId="0">
      <text>
        <r>
          <rPr>
            <b/>
            <sz val="9"/>
            <color indexed="81"/>
            <rFont val="Segoe UI"/>
            <family val="2"/>
          </rPr>
          <t>Seges:</t>
        </r>
        <r>
          <rPr>
            <sz val="9"/>
            <color indexed="81"/>
            <rFont val="Segoe UI"/>
            <family val="2"/>
          </rPr>
          <t xml:space="preserve"> Esta tabela totaliza os custos com reposição de profissional ausente e está automatizada mediante preenchimento das anteriores. Desde que não haja alteração de fórmulas e/ou estrutura da planilha.</t>
        </r>
      </text>
    </comment>
    <comment ref="D322" authorId="0" shapeId="0">
      <text>
        <r>
          <rPr>
            <b/>
            <sz val="9"/>
            <color indexed="81"/>
            <rFont val="Segoe UI"/>
            <family val="2"/>
          </rPr>
          <t>Seges:</t>
        </r>
        <r>
          <rPr>
            <sz val="9"/>
            <color indexed="81"/>
            <rFont val="Segoe UI"/>
            <family val="2"/>
          </rPr>
          <t xml:space="preserve"> todos os itens relacionados a insumos deverão ser objeto de pesquisa de preços conforme diretrizes da Instrução Normativa específica (IN n° 3, de 20 de abril de 2017).
</t>
        </r>
      </text>
    </comment>
    <comment ref="A376" authorId="0" shapeId="0">
      <text>
        <r>
          <rPr>
            <b/>
            <sz val="9"/>
            <color indexed="81"/>
            <rFont val="Segoe UI"/>
            <family val="2"/>
          </rPr>
          <t xml:space="preserve">Seges: </t>
        </r>
        <r>
          <rPr>
            <sz val="9"/>
            <color indexed="81"/>
            <rFont val="Segoe UI"/>
            <family val="2"/>
          </rPr>
          <t xml:space="preserve">Nesta tabela poderão ser informados os percentuais previstos de Custos Indiretos, Tributos e Lucro separadamente para permitir o cálculo automático segundo metodologia Seges. Desde que não haja alteração de modelo da planilha e de fórmulas.
</t>
        </r>
      </text>
    </comment>
    <comment ref="A388" authorId="0" shapeId="0">
      <text>
        <r>
          <rPr>
            <b/>
            <sz val="9"/>
            <color indexed="81"/>
            <rFont val="Segoe UI"/>
            <family val="2"/>
          </rPr>
          <t xml:space="preserve">Seges: </t>
        </r>
        <r>
          <rPr>
            <sz val="9"/>
            <color indexed="81"/>
            <rFont val="Segoe UI"/>
            <family val="2"/>
          </rPr>
          <t>Esta tabela totaliza o custo do trabalhador e está automatizada, desde que não haja alteração nas formulas e no modelo da presente planilha. Ajustes necessários são responsailidade do órgão contratante, por quem deverão ser conferidos.</t>
        </r>
      </text>
    </comment>
  </commentList>
</comments>
</file>

<file path=xl/sharedStrings.xml><?xml version="1.0" encoding="utf-8"?>
<sst xmlns="http://schemas.openxmlformats.org/spreadsheetml/2006/main" count="870" uniqueCount="349">
  <si>
    <t>SALÁRIO BASE</t>
  </si>
  <si>
    <t>Base de cálculo</t>
  </si>
  <si>
    <t>Percentual</t>
  </si>
  <si>
    <t>Categoria</t>
  </si>
  <si>
    <t>Valor</t>
  </si>
  <si>
    <t>MÓDULO 1 - REMUNERAÇÃO</t>
  </si>
  <si>
    <t>ADICIONAL NOTURNO</t>
  </si>
  <si>
    <t>ADICIONAL POR TRABALHO NOTURNO</t>
  </si>
  <si>
    <t>Base de Cálculo</t>
  </si>
  <si>
    <t>Proporção</t>
  </si>
  <si>
    <t>HORA NOTURNA REDUZIDA</t>
  </si>
  <si>
    <t>Adicional Noturno</t>
  </si>
  <si>
    <t>Hora Noturna
Reduzida</t>
  </si>
  <si>
    <t>ADICIONAL XXX</t>
  </si>
  <si>
    <t>Salário Base</t>
  </si>
  <si>
    <t>Adicional XXX</t>
  </si>
  <si>
    <t>Total</t>
  </si>
  <si>
    <t>ADICIONAL DE FÉRIAS - 1/3 CONSTITUCIONAL</t>
  </si>
  <si>
    <t>Alíquota Adicional</t>
  </si>
  <si>
    <t>1/3 Constitucional</t>
  </si>
  <si>
    <t>Férias</t>
  </si>
  <si>
    <t>SUBMÓDULO 2.2 - ENCARGOS PREVIDENCIÁRIOS E FGTS</t>
  </si>
  <si>
    <t>COMPOSIÇÃO DO GPS E FGTS</t>
  </si>
  <si>
    <t>Encargos</t>
  </si>
  <si>
    <t>INSS - empregador</t>
  </si>
  <si>
    <t>Salário-Educação</t>
  </si>
  <si>
    <t>SAT- GIL/RAT</t>
  </si>
  <si>
    <t>SESC</t>
  </si>
  <si>
    <t>SENAC</t>
  </si>
  <si>
    <t>SEBRAE</t>
  </si>
  <si>
    <t>INCRA</t>
  </si>
  <si>
    <t>FGTS</t>
  </si>
  <si>
    <t>TOTAL</t>
  </si>
  <si>
    <t>GPS - GUIA DA PREVIDÊNCIA SOCIAL</t>
  </si>
  <si>
    <t>FGTS - FUNDO DE GARANTIA POR TEMPO DE SERVIÇO</t>
  </si>
  <si>
    <t>GPS</t>
  </si>
  <si>
    <t>SUBMÓDULO 2.3 - BENEFÍCIOS MENSAIS E DIÁRIOS</t>
  </si>
  <si>
    <t>VALE TRANSPORTE</t>
  </si>
  <si>
    <t>Vr. Unitário</t>
  </si>
  <si>
    <t xml:space="preserve">Vales por dia </t>
  </si>
  <si>
    <t>Custo total</t>
  </si>
  <si>
    <t>Dias efetivamente trabalhados</t>
  </si>
  <si>
    <t>CUSTO DA PASSAGEM</t>
  </si>
  <si>
    <t>Proporcionalidade</t>
  </si>
  <si>
    <t>Desconto</t>
  </si>
  <si>
    <t>Valor do desconto</t>
  </si>
  <si>
    <t>DESCONTO DO VALE TRANSPORTE</t>
  </si>
  <si>
    <t>Custo efetivo</t>
  </si>
  <si>
    <t>CUSTO EFETIVO DO VALE TRANSPORTE</t>
  </si>
  <si>
    <t>VALE ALIMENTAÇÃO/REFEIÇÃO</t>
  </si>
  <si>
    <t>Valor diário</t>
  </si>
  <si>
    <t>DESCONTO DO VALE ALIMENTAÇÃO/REFEIÇÃO</t>
  </si>
  <si>
    <t>CUSTO EFETIVO DO VALE ALIMENTAÇÃO/REFEIÇÃO</t>
  </si>
  <si>
    <t>Vale Transporte</t>
  </si>
  <si>
    <t>Vale Refeição</t>
  </si>
  <si>
    <t>MÓDULO 3 - PROVISÃO PARA RESCISÃO</t>
  </si>
  <si>
    <t>PERCENTUAIS POR TIPO DE
 DESLIGAMENTO</t>
  </si>
  <si>
    <t>Tipos</t>
  </si>
  <si>
    <t>Demissão 
SEM  justa Causa</t>
  </si>
  <si>
    <t>SEM justa Causa
AP INDENIZADO</t>
  </si>
  <si>
    <t>SEM justa Causa 
AP TRABALHADO</t>
  </si>
  <si>
    <t>Demissão
 COM  justa Causa</t>
  </si>
  <si>
    <t>Desligamentos 
OUTROS TIPOS</t>
  </si>
  <si>
    <t>SUBMÓDULO 3.1 - AVISO PRÉVIO INDENIZADO</t>
  </si>
  <si>
    <t>AVISO PRÉVIO INDENIZADO</t>
  </si>
  <si>
    <t>Submódulo 2.1</t>
  </si>
  <si>
    <t>Submódulo 2.2</t>
  </si>
  <si>
    <t>Submódulo 2.3</t>
  </si>
  <si>
    <t>MULTA DO FGTS E CONTRIBUIÇÃO SOCIAL SOBRE O AVISO PRÉVIO INDENIZADO</t>
  </si>
  <si>
    <t>Percentual da 
Multa</t>
  </si>
  <si>
    <t>SUBMÓDULO 3.1 - CUSTO DO AVISO PRÉVIO INDENIZADO</t>
  </si>
  <si>
    <t>SUBMÓDULO 3.2 - AVISO PRÉVIO TRABALHADO</t>
  </si>
  <si>
    <t>AVISO PRÉVIO TRABALHADO</t>
  </si>
  <si>
    <t>MULTA DO FGTS E CONTRIBUIÇÃO SOCIAL SOBRE O AVISO PRÉVIO TRABALHADO</t>
  </si>
  <si>
    <t>SUBMÓDULO 3.3 - DEMISSÃO POR JUSTA CAUSA</t>
  </si>
  <si>
    <t>Valor provisionado do Adicional de Férias</t>
  </si>
  <si>
    <t>Valor provisionado das Férias</t>
  </si>
  <si>
    <t>BASE DE CÁLCULO PARA DEMISSÃO POR JUSTA CAUSA</t>
  </si>
  <si>
    <t>SUBMÓDULO 3.3 - CUSTO DA DEMISSÃO COM JUSTA CAUSA</t>
  </si>
  <si>
    <t>Submódulo 3.1</t>
  </si>
  <si>
    <t>Submódulo 3.2</t>
  </si>
  <si>
    <t>Submódulo 3.3</t>
  </si>
  <si>
    <t>SUBMÓDULO 3.2 - CUSTO DO AVISO PRÉVIO TRABALHADO</t>
  </si>
  <si>
    <t>MÓDULO 4 - CUSTO DE REPOSIÇÃO DO PROFISSIONAL AUSENTE</t>
  </si>
  <si>
    <t>Custo diário</t>
  </si>
  <si>
    <t>Divisor do dia</t>
  </si>
  <si>
    <t>CUSTO DIÁRIO PARA O REPOSITOR</t>
  </si>
  <si>
    <t xml:space="preserve">Memória de Cálculo - número de dias de reposição do profissional ausente para cada evento </t>
  </si>
  <si>
    <t>Incidencia anual</t>
  </si>
  <si>
    <t>Duração Legal  
da Ausência</t>
  </si>
  <si>
    <t>44h</t>
  </si>
  <si>
    <t>Proporção dias afetados</t>
  </si>
  <si>
    <t>Dias de reposição</t>
  </si>
  <si>
    <t>Ausência justificada</t>
  </si>
  <si>
    <t>Acidente trabalho</t>
  </si>
  <si>
    <t>Afastamento por doença</t>
  </si>
  <si>
    <t>Consulta médica filho</t>
  </si>
  <si>
    <t>Óbitos na família</t>
  </si>
  <si>
    <t>Casamento</t>
  </si>
  <si>
    <t>Doação de sangue</t>
  </si>
  <si>
    <t>Testemunho</t>
  </si>
  <si>
    <t>Paternidade</t>
  </si>
  <si>
    <t>Maternidade</t>
  </si>
  <si>
    <t>Consulta pré-natal</t>
  </si>
  <si>
    <t>Composição</t>
  </si>
  <si>
    <t>44 SEM</t>
  </si>
  <si>
    <t>Total Para reposição</t>
  </si>
  <si>
    <t>ESTIMATIVA DA NECESSIDADE DE REPOSIÇÃO DE PROFISSIONAL</t>
  </si>
  <si>
    <t>Necessidade de Reposição</t>
  </si>
  <si>
    <t>Custo anual</t>
  </si>
  <si>
    <t>Custo mensal</t>
  </si>
  <si>
    <t>SUBMÓDULO 4.1 - AUSÊNCIAS LEGAIS</t>
  </si>
  <si>
    <t>Submódulo 4.1</t>
  </si>
  <si>
    <t>MÓDULO 5 - INSUMOS DE MÃO DE OBRA</t>
  </si>
  <si>
    <t>MÓDULO 6 - CUSTOS INDIRETOS, TRIBUTOS E LUCRO</t>
  </si>
  <si>
    <t>Módulo</t>
  </si>
  <si>
    <t>Remuneração</t>
  </si>
  <si>
    <t>Encargos e Benefícios</t>
  </si>
  <si>
    <t>Rescisão</t>
  </si>
  <si>
    <t>Reposição do Profissional Ausente</t>
  </si>
  <si>
    <t>Insumos Diversos</t>
  </si>
  <si>
    <t>Custos Indiretos, Tributos e Lucro</t>
  </si>
  <si>
    <t>Valor por Empregado</t>
  </si>
  <si>
    <t>Valor por Posto</t>
  </si>
  <si>
    <t xml:space="preserve">Férias </t>
  </si>
  <si>
    <t>13° Salário</t>
  </si>
  <si>
    <t>MÓDULO 2 - ENCARGOS E BENEFÍCIOS (ANUAIS, MENSAIS E DIÁRIOS)</t>
  </si>
  <si>
    <t>Valor provisionado do 13º Salário</t>
  </si>
  <si>
    <t>Provisionamento Mensal</t>
  </si>
  <si>
    <t>SUBMÓDULO 2.1 – 13° SALÁRIO, FÉRIAS E ADICIONAL DE FÉRIAS</t>
  </si>
  <si>
    <t>GRATIFICAÇÃO DE FUNÇÃO</t>
  </si>
  <si>
    <t>Valor da Gratificação</t>
  </si>
  <si>
    <t>ADICIONAIS (periculosidade ou insalubridade, se houver)</t>
  </si>
  <si>
    <t>ADICIONAL DE XXX</t>
  </si>
  <si>
    <t>Este quadro totaliza a remuneração devida ao trabalhador, conforme previsão da Consolidação das Leis do Trabalho e valores disponíveis na Convenção Coletiva para a categoria</t>
  </si>
  <si>
    <t>Gratificação de função</t>
  </si>
  <si>
    <t>Cargo A (12x36 Diurno)</t>
  </si>
  <si>
    <t>Cargo B (12x36 Diurno)</t>
  </si>
  <si>
    <t>Cargo B (12x36 Noturno)</t>
  </si>
  <si>
    <t>Cargo A (12x36 Noturno)</t>
  </si>
  <si>
    <t>Cargo A Cargo A (44h semanais)</t>
  </si>
  <si>
    <t>Cargo A (44h semanais)</t>
  </si>
  <si>
    <t>Cargo B (44h semanais)</t>
  </si>
  <si>
    <t>13° SALÁRIO
Previsto no Decreto 57.155, de 1965.</t>
  </si>
  <si>
    <t>FÉRIAS
Previsto no art. 7° da Constituição Federal</t>
  </si>
  <si>
    <t>Adicional de Periculosidade ou Insalubridade</t>
  </si>
  <si>
    <t>Porobabilidade de ocorrência de ausências legais, conforme previsão do art. 473 da Consolidação das Leis do Trabalho.</t>
  </si>
  <si>
    <t>INFORMAÇÃO DE PERCENTUAIS ESTIMADOS DE CITL</t>
  </si>
  <si>
    <t>Custos Indiretos</t>
  </si>
  <si>
    <t>Tributos</t>
  </si>
  <si>
    <t>Lucro</t>
  </si>
  <si>
    <t>CUSTO DO TRABALHADOR</t>
  </si>
  <si>
    <t>CUSTO TOTAL POR TRABALHADOR</t>
  </si>
  <si>
    <t xml:space="preserve">UNIFORMES - COMPOSIÇÃO - VALOR ANUAL </t>
  </si>
  <si>
    <t>Item</t>
  </si>
  <si>
    <t>qte</t>
  </si>
  <si>
    <t>Vr. Unitario</t>
  </si>
  <si>
    <t>Calça</t>
  </si>
  <si>
    <t>Camisa</t>
  </si>
  <si>
    <t xml:space="preserve">Custo anual por Pessoa  </t>
  </si>
  <si>
    <t>UNIFORMES</t>
  </si>
  <si>
    <t xml:space="preserve">Custo mensal </t>
  </si>
  <si>
    <t>Descrição</t>
  </si>
  <si>
    <t xml:space="preserve">Valor total </t>
  </si>
  <si>
    <t>Módulo 1 - Composição da Remuneração</t>
  </si>
  <si>
    <t>Composição da Remuneração</t>
  </si>
  <si>
    <t>Valor (R$)</t>
  </si>
  <si>
    <t>A</t>
  </si>
  <si>
    <t>Salário-Base</t>
  </si>
  <si>
    <t>B</t>
  </si>
  <si>
    <t>Adicional de Periculosidade</t>
  </si>
  <si>
    <t>C</t>
  </si>
  <si>
    <t>Adicional de Insalubridade</t>
  </si>
  <si>
    <t>D</t>
  </si>
  <si>
    <t>E</t>
  </si>
  <si>
    <t>Adicional de Hora Noturna Reduzida</t>
  </si>
  <si>
    <t>F</t>
  </si>
  <si>
    <t>G</t>
  </si>
  <si>
    <t>Outros (especificar)</t>
  </si>
  <si>
    <t>Módulo 2 - Encargos e Benefícios Anuais, Mensais e Diários</t>
  </si>
  <si>
    <t>Submódulo 2.1 - 13º (décimo terceiro) Salário, Férias e Adicional de Férias</t>
  </si>
  <si>
    <t>2.1</t>
  </si>
  <si>
    <t>13º (décimo terceiro) Salário, Férias e Adicional de Férias</t>
  </si>
  <si>
    <t>13º (décimo terceiro) Salário</t>
  </si>
  <si>
    <t>Submódulo 2.2 - Encargos Previdenciários (GPS), Fundo de Garantia por Tempo de Serviço (FGTS) e outras contribuições.</t>
  </si>
  <si>
    <t>2.2</t>
  </si>
  <si>
    <t>GPS, FGTS e outras contribuições</t>
  </si>
  <si>
    <t>Percentual (%)</t>
  </si>
  <si>
    <t>INSS</t>
  </si>
  <si>
    <t>Salário Educação</t>
  </si>
  <si>
    <t>SAT</t>
  </si>
  <si>
    <t>SESC ou SESI</t>
  </si>
  <si>
    <t>SENAI - SENAC</t>
  </si>
  <si>
    <t>H</t>
  </si>
  <si>
    <t xml:space="preserve">Total </t>
  </si>
  <si>
    <t>Submódulo 2.3 - Benefícios Mensais e Diários.</t>
  </si>
  <si>
    <t>2.3</t>
  </si>
  <si>
    <t>Benefícios Mensais e Diários</t>
  </si>
  <si>
    <t>Transporte</t>
  </si>
  <si>
    <t>Auxílio-Refeição/Alimentação</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</si>
  <si>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</si>
  <si>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</si>
  <si>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</si>
  <si>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</si>
  <si>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</si>
  <si>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</si>
  <si>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Multa do FGTS e contribuição social sobre o Aviso Prévio Indenizado</t>
  </si>
  <si>
    <t>Aviso Prévio Trabalhado</t>
  </si>
  <si>
    <t>Incidência dos encargos do submódulo 2.2 sobre o Aviso Prévio Trabalhado</t>
  </si>
  <si>
    <t>Multa do FGTS e contribuição social sobre o Aviso Prévio Trabalhado</t>
  </si>
  <si>
    <t>Módulo 4 - Custo de Reposição do Profissional Ausente</t>
  </si>
  <si>
    <t>Submódulo 4.1 - Ausências Legais</t>
  </si>
  <si>
    <t>4.1</t>
  </si>
  <si>
    <t>Ausências Legais</t>
  </si>
  <si>
    <t>Licença-Paternidade</t>
  </si>
  <si>
    <t>Ausência por acidente de trabalho</t>
  </si>
  <si>
    <t>Afastamento Maternidade</t>
  </si>
  <si>
    <t>Submódulo 4.2 - Intrajornada</t>
  </si>
  <si>
    <t>4.2</t>
  </si>
  <si>
    <t>Intrajornada</t>
  </si>
  <si>
    <t>Quadro-Resumo do Módulo 4 - Custo de Reposição do Profissional Ausente</t>
  </si>
  <si>
    <t>Custo de Reposição do Profissional Ausente</t>
  </si>
  <si>
    <t>Módulo 5 - Insumos Diversos</t>
  </si>
  <si>
    <t>Uniformes</t>
  </si>
  <si>
    <t>Materiais</t>
  </si>
  <si>
    <t>Equipamentos</t>
  </si>
  <si>
    <t>Módulo 6 - Custos Indiretos, Tributos e Lucro</t>
  </si>
  <si>
    <t>C.1. Tributos Federais (especificar)</t>
  </si>
  <si>
    <t>C.2. Tributos Estaduais (especificar)</t>
  </si>
  <si>
    <t>C.3. Tributos Municipais (especificar)</t>
  </si>
  <si>
    <t>2. QUADRO-RESUMO DO CUSTO POR EMPREGADO</t>
  </si>
  <si>
    <t>Mão de obra vinculada à execução contratual (valor por empregado)</t>
  </si>
  <si>
    <t>Subtotal (A + B +C+ D+E)</t>
  </si>
  <si>
    <t>Módulo 6 – Custos Indiretos, Tributos e Lucro</t>
  </si>
  <si>
    <t xml:space="preserve">Valor Total por Empregado </t>
  </si>
  <si>
    <t>PLANILHA DE CUSTOS E FORMAÇÃO DE PREÇOS</t>
  </si>
  <si>
    <t xml:space="preserve">MODELO DE FORMAÇÃO DE CUSTO MENSAL PARA UM EMPREGADO </t>
  </si>
  <si>
    <t>MODELO PARA A CONSOLIDAÇÃO E APRESENTAÇÃO DE PROPOSTAS</t>
  </si>
  <si>
    <t>* A remuneração é definida no art. 457 da Consolidação das Leis do Trabalho. 
* É composta por Salário Base, Adicionais (noturno, de insalubridade ou periculosidade) e gratificações, quando houver.</t>
  </si>
  <si>
    <t xml:space="preserve">* Os adicionais de periculosidade ou insalubridade, em conformidade com os art. 192 e 193 da CLT, dependem da natureza do serviço a ser prestado. 
* O órgão contrantante deverá observar, além da existência de previsão em CLT, se há informações na Convenção Coletiva de Trabalho acerca dos adicionais, bem como seu percentual e a base de cálculo, devendo adaptar a planilha ao caso em concreto. </t>
  </si>
  <si>
    <t>* Em caso de previsão de outros adicionais em Convenção Coletiva de Trabalho o órgão poderá utilizar este campo.</t>
  </si>
  <si>
    <t>* Previsto no art. 195 da Constituição Federal. 
* Os percentuais informados não são taxativos e deverão observar o enquadramento real das empresas prestadoras de serviço, em especial no que diz respeito ao SAT-GIIL/RAT.</t>
  </si>
  <si>
    <t>* O cálculo de benefícios mensais e diários dependerá das disposições constantes em Convenção Coletiva de Trabalho sobre os direitos negociados aos trabalhadores, observando sempre o custo efetivo a ser suportado pela Administração no contrato de prestação de serviços (descontados os valores arcados pelos empregados).</t>
  </si>
  <si>
    <t>* O Custo de reposição do profissional ausente refere-se ao custo necessário para substituir, no posto de trabalho, o profissional residente quando estiver em gozo de férias ou no caso de um das ausências legais previstas no art 473 da Consolidação das Leis do Trabalho. 
* Na metodologia Seges utiliza-se uma probabilidade de ocorrência, mediante estatísticas da Relação Anual de Informações Sociais-2016 (RAIS/MTE), da Pesquisa Nacional por Amostra de Domicílios-2016 (PNAD/IBGE), do Registro Civil (IBGE)-2016.
* São computados, então, a probabilidade de dias de ausência para cobertura, conforme escala de trabalho mensal.
* Para jornadas jornadas 12x36h a necessidade de reposição incide somente em 50% do dias de ausência devido à escala. 
* Na jornada 44h computa-se somente a reposição nos dias úteis, portanto, 69,04% da ausência total.</t>
  </si>
  <si>
    <t>Com ajustes após publicação da Lei n° 13.467, de 2017.</t>
  </si>
  <si>
    <t>Intervalo para repouso e alimentação</t>
  </si>
  <si>
    <t>* Este módulo destina-se a calcular o custo de possível desligamento de um empregado vinculado ao contrato de prestação de seviços. 
* Na metodologia Seges calcula-se uma probabilidade de ocorrência, por tipos de desligamentos, como fator de ponderação do custo total.</t>
  </si>
  <si>
    <t>* A planilha de custos e formação de preços é ferramenta de apoio à realização de estimativas da contratação e para a análise das propostas na fase de pregão e nas prorrogações contratuais.
* O modelo disponibilizado na Instrução Normativa n° 5, de 26 de maio de 2017, é inspiracional, devendo ser adaptado pelo órgão ou entidade contratante às suas necessidades.
* A presente proposta visa, tão somente, auxiliar aos órgão que não possuam um modelo definido na formatação dos cálculos de direitos trabalhistas para estimativas de contratos de prestação de serviços, observando as disposições da Consolidação das Leis do Trabalho - CLT e das Convenções Coletivas de Trabalho - CCT (sendo válidos, ainda, os acordos e dissídios coletivos).
* É responsábilidade do usuário que optar pela utilização deste modelo a conferência das fórmulas automatizadas em conformidade com as dispoções de CLT e CCT, para minimizar o risco de equívocos no cômputo das previsões financeiras.
* Dúvidas sobre a metodologia de cálculo poderão ser esclarecidas com a leitura dos Cadernos Técnicos de divulgação de valores limites em: https://www.comprasgovernamentais.gov.br/index.php/cadernos-tecnicos-e-valores-limites.</t>
  </si>
  <si>
    <t>* O Salário Base vem definido na Convenção Coletiva de Trabalho da categoria profissional a ser contratada para o objeto da prestação de serviço. 
* O contratante deverá observar se a CCT abrange o município de prestação de serviço e se está vigente.</t>
  </si>
  <si>
    <t>* Gratificação de função, quando houver, virá informada na Convenção Coletiva de Trabalho da categoria profissional a ser contratada. 
* O órgão contrantante deverá observar, além da existência de gratificação, se esta incidirá sobre os adicionais, devendo adaptar a planilha ao caso em concreto.
*  Para o presente modelo foi considerada gratificação como percentual sobre o salário base e sem incidência sobre os adicionais (noturno, periculosidade ou insalubridade).</t>
  </si>
  <si>
    <t xml:space="preserve">* O Adicional Noturno e a Hora Noturna Reduzida, conforme art. 73 da CLT, serão pagos entre 22h e 5h do dia seguinte, sem prorrogação quando da jornada 12x36h.
* O órgão contrantante deverá observar, além da existência do previsto em CLT, se há informações na Convenção Coletiva de Trabalho acerca da existência do percentual de adicional noturno, bem como se haverá pagamento de hora noturna reduzida e adaptar a planilha ao caso em concreto. </t>
  </si>
  <si>
    <t>* Quando ocorrer a demissão de uma trabalhador e a empresa não conceder prazo de aviso prévio, o trabalhador terá direito a receber o salário referente ao mês completo, conforme dispõe o art. 487 § 1º da CLT.
* A metodologia utilizada pela Seges computa todos os direitos do trabalhador, aplicando a proporcionalidade estimada de ocorrência de aviso prévio indenizado, relizando provisionamento mensal do custo.
* Estes custos deverão ser apreciados atentamente nos casos de prorrogaçao contratual para verificar a necessidade de sua renovação ou não.
* Deverão, ainda, ser obsrvados os ditames da Lei nº 12.506, de 2011 e seus impactos no custo quando das prorrogações contratuais.</t>
  </si>
  <si>
    <t>* Quando ocorrer a demissão de um trabalhador com aviso prévio, o trabalhador cumprirá os dias em atividade, e terá direito a receber o salário referente ao mês completo, conforme dispõe o art. 487 § 1º da CLT.
* A metodologia utilizada pela Seges computa todos os direitos do trabalhador, aplicando a proporcionalidade estimada de ocorrência de aviso prévio trabalhado, relizando provisionamento mensal do custo.
* Estes custos deverão ser apreciados atentamente nos casos de prorrogaçao contratual para verificar a necessidade de sua renovação ou não.
* Deverão, ainda, ser observados os ditames da Lei nº 12.506, de 2011, e seus impactos no custo quando das prorrogações contratuais.</t>
  </si>
  <si>
    <t>*Na hipotese de demissão por justa causa o empregado perde o direito ao pagamento de 13° salário, férias e adicional de férias, como previsto no parágrafo único do art. 146 da CLT.
* Para estes casos,  na metodologia Seges, haverá o desconto dos valores que, por tratar-se de provisão mensal, deverão ser reduzidos da fatura da empresa contratada.
* Igualmente, o cômputo de custos com demissão por justa causa considera a probabilidade de ocorrência desta para provisionamento.</t>
  </si>
  <si>
    <t>* O Submódulo 4.1 destina-se ao cálculo do custo estimado para a reposição de ausências legais do empregado residente.
* Na metodologia Seges computa-se o custo total de um empregado, com direito à remuneração, 13° salário, férias, encargos e benefícios, bem como probabilidade de rescisão, para a base de cálculo do presente submódulo que, em seguida, servirá para estipular o custo diário de um profissional para a contratação. 
* Com base neste custo diário estima-se o custo mensal com reposição de profissional ausente.</t>
  </si>
  <si>
    <t>COMPLEMENTO DOS SERVIÇOS DE LIMPEZA E CONSERVAÇÃO</t>
  </si>
  <si>
    <t>PISOS FRIOS</t>
  </si>
  <si>
    <t>PRODUTIVIDADE        (m²)</t>
  </si>
  <si>
    <t>MÃO DE OBRA</t>
  </si>
  <si>
    <t>PRODUTIVIDADE (1/M²)</t>
  </si>
  <si>
    <t>PREÇO HOMEM-MÊS (R$)</t>
  </si>
  <si>
    <t>SUBTOTAL (R$/M²)</t>
  </si>
  <si>
    <t>800 M²</t>
  </si>
  <si>
    <t>Agente de Limpeza</t>
  </si>
  <si>
    <t>Encarregado de Serviços</t>
  </si>
  <si>
    <t>1200 M²</t>
  </si>
  <si>
    <t>LABORATÓRIOS</t>
  </si>
  <si>
    <t>ALMOXARIFADO E GALPÕES</t>
  </si>
  <si>
    <t>ÁREAS LIVRES (HALL E SALÕES)</t>
  </si>
  <si>
    <t>BANHEIROS</t>
  </si>
  <si>
    <t>VARRIÇÃO DE PASSEIOS E ARRUAMENTOS</t>
  </si>
  <si>
    <t>PRODUTIVIDADE         (m²)</t>
  </si>
  <si>
    <t>PISOS PAVIMENTOS ADJACENTES/CONTIGUOS ÀS EDIFICAÇÕES</t>
  </si>
  <si>
    <t>PRODUTIVIDADE      (m²)</t>
  </si>
  <si>
    <t>ESQUADRIA EXTERNA SEM SITUAÇÃO DE RISCO</t>
  </si>
  <si>
    <t>PRODUTIVIDADE CONVERTIDA</t>
  </si>
  <si>
    <t xml:space="preserve"> (A)  PRODUTIVIDADE (1/M²)</t>
  </si>
  <si>
    <t>(B) FREQUÊNCIA NO BIMESTRE (HORAS)</t>
  </si>
  <si>
    <t>(C)   JORNADA DE TRABALHO NO MÊS (HORAS)</t>
  </si>
  <si>
    <t>(D)            (AxBxC)</t>
  </si>
  <si>
    <t>(E)      PREÇO HOMEM-MÊS (R$)</t>
  </si>
  <si>
    <t>(F)  SUBTOTAL (R$/M²)</t>
  </si>
  <si>
    <t>ESQUADRIA EXTERNA COM SITUAÇÃO DE RISCO</t>
  </si>
  <si>
    <t>(E)         PREÇO HOMEM-MÊS (R$)</t>
  </si>
  <si>
    <t>ESQUADRIA INTERNA SEM SITUAÇÃO DE RISCO</t>
  </si>
  <si>
    <t xml:space="preserve">Nº do Processo: </t>
  </si>
  <si>
    <t>Licitação Nº 253/2021</t>
  </si>
  <si>
    <t>GRUPO 01</t>
  </si>
  <si>
    <t>Tipo de Área / Local</t>
  </si>
  <si>
    <t>R$ m²</t>
  </si>
  <si>
    <t>Produtividade</t>
  </si>
  <si>
    <t>Área Construida</t>
  </si>
  <si>
    <t>ATC - Área Total Convertida - (m²)</t>
  </si>
  <si>
    <t>Valor Mensal</t>
  </si>
  <si>
    <t>ITEM 01  (CAMPUS 01)</t>
  </si>
  <si>
    <t>Área Interna</t>
  </si>
  <si>
    <t>Pisos Frios</t>
  </si>
  <si>
    <t>Laboratórios</t>
  </si>
  <si>
    <t>Almoxarifado e galpões</t>
  </si>
  <si>
    <t>Áreas livres (hall ou salão)</t>
  </si>
  <si>
    <t>Banheiros</t>
  </si>
  <si>
    <t>Área Externa</t>
  </si>
  <si>
    <t>Varrição de Passeios e arruamentos</t>
  </si>
  <si>
    <t>Pisos pavimentados adjacentes/contíguos às edificações</t>
  </si>
  <si>
    <t>Esquadrias</t>
  </si>
  <si>
    <t>Face Externa com situação de risco</t>
  </si>
  <si>
    <t>Face Externa sem situação de risco</t>
  </si>
  <si>
    <t>Face Interna</t>
  </si>
  <si>
    <t>Total Mensal</t>
  </si>
  <si>
    <t>Subtotal Anual</t>
  </si>
  <si>
    <t>ITEM 02  (CAMPUS 02)</t>
  </si>
  <si>
    <t>VALOR TOTAL GLOBAL MENSAL ESTIMADO</t>
  </si>
  <si>
    <t>VALOR TOTAL GLOBAL ANUAL ESTIMADO</t>
  </si>
  <si>
    <t>PLANILHA FINAL</t>
  </si>
  <si>
    <t>CESTA BÁSICA</t>
  </si>
  <si>
    <t>Vigilante 44h semanais</t>
  </si>
  <si>
    <t>Supervisor 12x36 D</t>
  </si>
  <si>
    <t>Supervisor 12x36 N</t>
  </si>
  <si>
    <t>Supervisor 44h semanais</t>
  </si>
  <si>
    <t>BENEFÍCIO 2</t>
  </si>
  <si>
    <t>ASSISTÊNCIA SOCIAL E FAMILIAR</t>
  </si>
  <si>
    <t>PROGRAMA DE QUALIFICAÇÃO PROFISSIONAL</t>
  </si>
  <si>
    <r>
      <rPr>
        <b/>
        <sz val="12"/>
        <color theme="1"/>
        <rFont val="Times New Roman"/>
        <family val="1"/>
      </rPr>
      <t>BENEFÍCIO 01</t>
    </r>
    <r>
      <rPr>
        <sz val="12"/>
        <color theme="1"/>
        <rFont val="Times New Roman"/>
        <family val="1"/>
      </rPr>
      <t xml:space="preserve">
</t>
    </r>
  </si>
  <si>
    <t>BENEFÍCIO 3</t>
  </si>
  <si>
    <t>Benefício 1</t>
  </si>
  <si>
    <t>Benefício 2</t>
  </si>
  <si>
    <t>Benefício 3</t>
  </si>
  <si>
    <t>Dados Fornecidos pelo CAGED</t>
  </si>
  <si>
    <t>Agente de Limpeza / Encarregado de Serviços</t>
  </si>
  <si>
    <t>-</t>
  </si>
  <si>
    <t>Bota</t>
  </si>
  <si>
    <t>Cinto de nylon</t>
  </si>
  <si>
    <t>Distintivo tipo broche</t>
  </si>
  <si>
    <t>Meia</t>
  </si>
  <si>
    <t>Boné</t>
  </si>
  <si>
    <t>Cracha</t>
  </si>
  <si>
    <t xml:space="preserve">INSUMOS DE MATERIAIS </t>
  </si>
  <si>
    <t>Base cálculo</t>
  </si>
  <si>
    <t>Custo Mensal</t>
  </si>
  <si>
    <t>Confins</t>
  </si>
  <si>
    <t>INSUMOS DE EQUIPAMENTOS</t>
  </si>
  <si>
    <t>INSUMOS DE EQUIPAMENTOS DE SEGURANÇA</t>
  </si>
  <si>
    <t>Módulo 5 - INSUMOS DE MÃO DE OBRA</t>
  </si>
  <si>
    <t>Uniforme</t>
  </si>
  <si>
    <t>E. Seguraça</t>
  </si>
  <si>
    <t>=</t>
  </si>
  <si>
    <t>Benefício 01</t>
  </si>
  <si>
    <t>Benefício 02</t>
  </si>
  <si>
    <t>Benefício 03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</si>
</sst>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R$&quot;\ * #,##0.00_-;\-&quot;R$&quot;\ * #,##0.00_-;_-&quot;R$&quot;\ * &quot;-&quot;??_-;_-@_-"/>
    <numFmt numFmtId="43" formatCode="_-* #,##0.00_-;\-* #,##0.00_-;_-* &quot;-&quot;??_-;_-@_-"/>
    <numFmt numFmtId="164" formatCode="#,##0.00;[Red]#,##0.00"/>
    <numFmt numFmtId="165" formatCode="0.0000"/>
    <numFmt numFmtId="166" formatCode="#,##0.0000_ ;\-#,##0.0000\ "/>
    <numFmt numFmtId="167" formatCode="_(* #,##0.00_);_(* \(#,##0.00\);_(* \-??_);_(@_)"/>
    <numFmt numFmtId="168" formatCode="_-&quot;R$&quot;* #,##0.00_-;\-&quot;R$&quot;* #,##0.00_-;_-&quot;R$&quot;* &quot;-&quot;??_-;_-@_-"/>
  </numFmts>
  <fonts count="45"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name val="Times New Roman"/>
      <family val="1"/>
    </font>
    <font>
      <sz val="10"/>
      <name val="Arial"/>
      <family val="2"/>
    </font>
    <font>
      <b/>
      <sz val="12"/>
      <color rgb="FF00B05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64"/>
      <name val="Calibri"/>
      <family val="2"/>
      <scheme val="minor"/>
    </font>
    <font>
      <sz val="12"/>
      <color rgb="FFFF0000"/>
      <name val="Times New Roman"/>
      <family val="1"/>
    </font>
    <font>
      <sz val="9"/>
      <color indexed="81"/>
      <name val="Segoe UI"/>
      <charset val="1"/>
    </font>
    <font>
      <b/>
      <sz val="9"/>
      <color indexed="81"/>
      <name val="Segoe UI"/>
      <charset val="1"/>
    </font>
    <font>
      <sz val="9"/>
      <color indexed="81"/>
      <name val="Segoe UI"/>
      <family val="2"/>
    </font>
    <font>
      <b/>
      <sz val="9"/>
      <color indexed="81"/>
      <name val="Segoe UI"/>
      <family val="2"/>
    </font>
    <font>
      <b/>
      <sz val="12"/>
      <color rgb="FFFF0000"/>
      <name val="Times New Roman"/>
      <family val="1"/>
    </font>
    <font>
      <sz val="12"/>
      <name val="Times New Roman"/>
      <family val="1"/>
    </font>
    <font>
      <b/>
      <sz val="12"/>
      <color indexed="8"/>
      <name val="Times New Roman"/>
      <family val="1"/>
    </font>
    <font>
      <sz val="12"/>
      <color indexed="8"/>
      <name val="Times New Roman"/>
      <family val="1"/>
    </font>
    <font>
      <sz val="18"/>
      <color theme="0"/>
      <name val="Times New Roman"/>
      <family val="1"/>
    </font>
    <font>
      <sz val="10"/>
      <color theme="1"/>
      <name val="Arial"/>
      <family val="2"/>
    </font>
    <font>
      <b/>
      <sz val="12"/>
      <color theme="1"/>
      <name val="Calibri"/>
      <family val="2"/>
      <scheme val="minor"/>
    </font>
    <font>
      <sz val="12"/>
      <color theme="1"/>
      <name val="Calibri"/>
      <family val="2"/>
      <scheme val="minor"/>
    </font>
    <font>
      <b/>
      <sz val="14"/>
      <color theme="1"/>
      <name val="Times New Roman"/>
      <family val="1"/>
    </font>
    <font>
      <b/>
      <sz val="11"/>
      <color theme="1"/>
      <name val="Times New Roman"/>
      <family val="1"/>
    </font>
    <font>
      <b/>
      <sz val="10"/>
      <color theme="1"/>
      <name val="Arial"/>
      <family val="2"/>
    </font>
    <font>
      <b/>
      <sz val="11"/>
      <color rgb="FF000000"/>
      <name val="Arial"/>
      <family val="2"/>
    </font>
    <font>
      <b/>
      <sz val="10"/>
      <color rgb="FF000000"/>
      <name val="Arial"/>
      <family val="2"/>
    </font>
    <font>
      <b/>
      <sz val="9"/>
      <color theme="1"/>
      <name val="Arial"/>
      <family val="2"/>
    </font>
    <font>
      <sz val="10"/>
      <color rgb="FF000000"/>
      <name val="Arial"/>
      <family val="2"/>
    </font>
    <font>
      <sz val="11"/>
      <color theme="1"/>
      <name val="Times New Roman"/>
      <family val="1"/>
    </font>
  </fonts>
  <fills count="46">
    <fill>
      <patternFill patternType="none"/>
    </fill>
    <fill>
      <patternFill patternType="gray125"/>
    </fill>
    <fill>
      <patternFill patternType="solid">
        <fgColor theme="4" tint="0.39997558519241921"/>
        <bgColor indexed="64"/>
      </patternFill>
    </fill>
    <fill>
      <patternFill patternType="solid">
        <fgColor theme="4" tint="0.39997558519241921"/>
        <bgColor indexed="4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BFBFBF"/>
        <bgColor indexed="64"/>
      </patternFill>
    </fill>
    <fill>
      <patternFill patternType="solid">
        <fgColor theme="0" tint="-0.249977111117893"/>
        <bgColor indexed="64"/>
      </patternFill>
    </fill>
    <fill>
      <patternFill patternType="solid">
        <fgColor theme="7"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54">
    <xf numFmtId="0" fontId="0" fillId="0" borderId="0"/>
    <xf numFmtId="9" fontId="1" fillId="0" borderId="0" applyFont="0" applyFill="0" applyBorder="0" applyAlignment="0" applyProtection="0"/>
    <xf numFmtId="43" fontId="1" fillId="0" borderId="0" applyFont="0" applyFill="0" applyBorder="0" applyAlignment="0" applyProtection="0"/>
    <xf numFmtId="167" fontId="5"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0" borderId="39" applyNumberFormat="0" applyFill="0" applyAlignment="0" applyProtection="0"/>
    <xf numFmtId="0" fontId="9" fillId="0" borderId="40" applyNumberFormat="0" applyFill="0" applyAlignment="0" applyProtection="0"/>
    <xf numFmtId="0" fontId="10" fillId="0" borderId="41"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42" applyNumberFormat="0" applyAlignment="0" applyProtection="0"/>
    <xf numFmtId="0" fontId="15" fillId="8" borderId="43" applyNumberFormat="0" applyAlignment="0" applyProtection="0"/>
    <xf numFmtId="0" fontId="16" fillId="8" borderId="42" applyNumberFormat="0" applyAlignment="0" applyProtection="0"/>
    <xf numFmtId="0" fontId="17" fillId="0" borderId="44" applyNumberFormat="0" applyFill="0" applyAlignment="0" applyProtection="0"/>
    <xf numFmtId="0" fontId="18" fillId="9" borderId="45" applyNumberFormat="0" applyAlignment="0" applyProtection="0"/>
    <xf numFmtId="0" fontId="19" fillId="0" borderId="0" applyNumberFormat="0" applyFill="0" applyBorder="0" applyAlignment="0" applyProtection="0"/>
    <xf numFmtId="0" fontId="1" fillId="10" borderId="46" applyNumberFormat="0" applyFont="0" applyAlignment="0" applyProtection="0"/>
    <xf numFmtId="0" fontId="20" fillId="0" borderId="0" applyNumberFormat="0" applyFill="0" applyBorder="0" applyAlignment="0" applyProtection="0"/>
    <xf numFmtId="0" fontId="21" fillId="0" borderId="47" applyNumberFormat="0" applyFill="0" applyAlignment="0" applyProtection="0"/>
    <xf numFmtId="0" fontId="2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34" borderId="0" applyNumberFormat="0" applyBorder="0" applyAlignment="0" applyProtection="0"/>
    <xf numFmtId="43" fontId="1"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98">
    <xf numFmtId="0" fontId="0" fillId="0" borderId="0" xfId="0"/>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164" fontId="2" fillId="0" borderId="7" xfId="0" applyNumberFormat="1" applyFont="1" applyBorder="1" applyAlignment="1">
      <alignment horizontal="center" vertical="center"/>
    </xf>
    <xf numFmtId="164" fontId="2" fillId="0" borderId="9" xfId="0" applyNumberFormat="1" applyFont="1" applyBorder="1" applyAlignment="1">
      <alignment horizontal="center" vertical="center"/>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10" fontId="3" fillId="0" borderId="5" xfId="1" applyNumberFormat="1" applyFont="1" applyBorder="1" applyAlignment="1">
      <alignment horizontal="center" vertical="center"/>
    </xf>
    <xf numFmtId="10" fontId="3" fillId="0" borderId="3" xfId="1" applyNumberFormat="1" applyFont="1" applyBorder="1" applyAlignment="1">
      <alignment horizontal="center" vertical="center"/>
    </xf>
    <xf numFmtId="10" fontId="3" fillId="0" borderId="7" xfId="1" applyNumberFormat="1" applyFont="1" applyBorder="1" applyAlignment="1">
      <alignment horizontal="center" vertical="center"/>
    </xf>
    <xf numFmtId="1" fontId="3" fillId="0" borderId="12" xfId="0" applyNumberFormat="1" applyFont="1" applyBorder="1" applyAlignment="1">
      <alignment horizontal="center" vertical="center"/>
    </xf>
    <xf numFmtId="1" fontId="3" fillId="0" borderId="13" xfId="0" applyNumberFormat="1" applyFont="1" applyBorder="1" applyAlignment="1">
      <alignment horizontal="center" vertical="center"/>
    </xf>
    <xf numFmtId="0" fontId="3" fillId="0" borderId="0" xfId="0" applyFont="1" applyAlignment="1">
      <alignment vertical="center"/>
    </xf>
    <xf numFmtId="0" fontId="3" fillId="0" borderId="4" xfId="0" applyFont="1" applyBorder="1" applyAlignment="1">
      <alignment horizontal="center" vertical="center" wrapText="1"/>
    </xf>
    <xf numFmtId="0" fontId="3" fillId="0" borderId="24" xfId="0" applyFont="1" applyBorder="1" applyAlignment="1">
      <alignment horizontal="center" vertical="center" wrapText="1"/>
    </xf>
    <xf numFmtId="10" fontId="2" fillId="2" borderId="11" xfId="0" applyNumberFormat="1" applyFont="1" applyFill="1" applyBorder="1" applyAlignment="1">
      <alignment horizontal="center" vertical="center"/>
    </xf>
    <xf numFmtId="0" fontId="3" fillId="0" borderId="8" xfId="0" applyFont="1" applyBorder="1" applyAlignment="1">
      <alignment horizontal="center" vertical="center" wrapText="1"/>
    </xf>
    <xf numFmtId="0" fontId="2" fillId="2" borderId="30" xfId="0" applyFont="1" applyFill="1" applyBorder="1" applyAlignment="1">
      <alignment horizontal="center" vertical="center" wrapText="1"/>
    </xf>
    <xf numFmtId="0" fontId="2" fillId="0" borderId="0" xfId="0" applyFont="1" applyFill="1" applyBorder="1" applyAlignment="1">
      <alignment vertical="center"/>
    </xf>
    <xf numFmtId="0" fontId="3" fillId="0" borderId="0" xfId="0" applyFont="1" applyAlignment="1">
      <alignment horizontal="center" vertical="center"/>
    </xf>
    <xf numFmtId="40" fontId="3" fillId="0" borderId="13" xfId="0" applyNumberFormat="1" applyFont="1" applyBorder="1" applyAlignment="1">
      <alignment horizontal="center" vertical="center"/>
    </xf>
    <xf numFmtId="40" fontId="2" fillId="0" borderId="7" xfId="0" applyNumberFormat="1" applyFont="1" applyBorder="1" applyAlignment="1">
      <alignment horizontal="center" vertical="center"/>
    </xf>
    <xf numFmtId="40" fontId="3" fillId="0" borderId="12" xfId="0" applyNumberFormat="1" applyFont="1" applyBorder="1" applyAlignment="1">
      <alignment horizontal="center" vertical="center"/>
    </xf>
    <xf numFmtId="40" fontId="2" fillId="0" borderId="3" xfId="0" applyNumberFormat="1" applyFont="1" applyBorder="1" applyAlignment="1">
      <alignment horizontal="center"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164" fontId="3" fillId="0" borderId="5"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34" xfId="0" applyFont="1" applyBorder="1" applyAlignment="1">
      <alignment horizontal="center" vertical="center" wrapText="1"/>
    </xf>
    <xf numFmtId="166" fontId="2" fillId="0" borderId="3" xfId="2" applyNumberFormat="1" applyFont="1" applyBorder="1" applyAlignment="1">
      <alignment horizontal="center" vertical="center" wrapText="1"/>
    </xf>
    <xf numFmtId="10" fontId="3" fillId="0" borderId="2" xfId="1"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35" xfId="0" applyFont="1" applyBorder="1" applyAlignment="1">
      <alignment horizontal="center" vertical="center" wrapText="1"/>
    </xf>
    <xf numFmtId="166" fontId="2" fillId="0" borderId="5" xfId="2" applyNumberFormat="1" applyFont="1" applyBorder="1" applyAlignment="1">
      <alignment horizontal="center" vertical="center" wrapText="1"/>
    </xf>
    <xf numFmtId="10" fontId="3" fillId="0" borderId="4" xfId="1"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36" xfId="0" applyFont="1" applyBorder="1" applyAlignment="1">
      <alignment horizontal="center" vertical="center" wrapText="1"/>
    </xf>
    <xf numFmtId="166" fontId="2" fillId="0" borderId="7" xfId="2" applyNumberFormat="1" applyFont="1" applyBorder="1" applyAlignment="1">
      <alignment horizontal="center" vertical="center" wrapText="1"/>
    </xf>
    <xf numFmtId="10" fontId="3" fillId="0" borderId="6" xfId="1"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26" xfId="0" applyNumberFormat="1" applyFont="1" applyBorder="1" applyAlignment="1">
      <alignment horizontal="center" vertical="center" wrapText="1"/>
    </xf>
    <xf numFmtId="0" fontId="3" fillId="0" borderId="0" xfId="0" applyFont="1" applyAlignment="1">
      <alignment horizontal="center" vertical="center" wrapText="1"/>
    </xf>
    <xf numFmtId="0" fontId="2" fillId="2" borderId="31" xfId="0" applyFont="1" applyFill="1" applyBorder="1" applyAlignment="1">
      <alignment horizontal="center" vertical="center" wrapText="1"/>
    </xf>
    <xf numFmtId="0" fontId="2" fillId="2" borderId="10" xfId="0" applyFont="1" applyFill="1" applyBorder="1" applyAlignment="1">
      <alignment horizontal="center" vertical="center" wrapText="1"/>
    </xf>
    <xf numFmtId="165" fontId="2" fillId="2" borderId="15" xfId="0" applyNumberFormat="1" applyFont="1" applyFill="1" applyBorder="1" applyAlignment="1">
      <alignment horizontal="center" vertical="center" wrapText="1"/>
    </xf>
    <xf numFmtId="165" fontId="2" fillId="2" borderId="11" xfId="0" applyNumberFormat="1" applyFont="1" applyFill="1" applyBorder="1" applyAlignment="1">
      <alignment horizontal="center" vertical="center" wrapText="1"/>
    </xf>
    <xf numFmtId="165" fontId="3" fillId="0" borderId="13" xfId="0" applyNumberFormat="1" applyFont="1" applyBorder="1" applyAlignment="1">
      <alignment horizontal="center" vertical="center"/>
    </xf>
    <xf numFmtId="165" fontId="3" fillId="0" borderId="12" xfId="0" applyNumberFormat="1" applyFont="1" applyBorder="1" applyAlignment="1">
      <alignment horizontal="center" vertical="center"/>
    </xf>
    <xf numFmtId="164" fontId="2" fillId="2" borderId="15" xfId="0"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10" fontId="3" fillId="0" borderId="5" xfId="1" applyNumberFormat="1" applyFont="1" applyFill="1" applyBorder="1" applyAlignment="1">
      <alignment horizontal="center" vertical="center"/>
    </xf>
    <xf numFmtId="164" fontId="3" fillId="0" borderId="3" xfId="0" applyNumberFormat="1" applyFont="1" applyBorder="1" applyAlignment="1">
      <alignment horizontal="center" vertical="center"/>
    </xf>
    <xf numFmtId="165" fontId="3" fillId="0" borderId="1"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wrapText="1"/>
    </xf>
    <xf numFmtId="164" fontId="3" fillId="0" borderId="12" xfId="0" applyNumberFormat="1" applyFont="1" applyFill="1" applyBorder="1" applyAlignment="1">
      <alignment horizontal="center" vertical="center"/>
    </xf>
    <xf numFmtId="40" fontId="3" fillId="0" borderId="12"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3" fillId="0" borderId="13" xfId="0" applyNumberFormat="1" applyFont="1" applyFill="1" applyBorder="1" applyAlignment="1">
      <alignment horizontal="center" vertical="center"/>
    </xf>
    <xf numFmtId="40" fontId="3" fillId="0" borderId="13" xfId="0" applyNumberFormat="1" applyFont="1" applyFill="1" applyBorder="1" applyAlignment="1">
      <alignment horizontal="center" vertical="center"/>
    </xf>
    <xf numFmtId="164" fontId="2" fillId="0" borderId="7" xfId="0" applyNumberFormat="1"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9" fontId="3" fillId="0" borderId="12" xfId="1" applyFont="1" applyBorder="1" applyAlignment="1">
      <alignment horizontal="center" vertical="center"/>
    </xf>
    <xf numFmtId="9" fontId="3" fillId="0" borderId="1" xfId="1" applyFont="1" applyBorder="1" applyAlignment="1">
      <alignment horizontal="center" vertical="center"/>
    </xf>
    <xf numFmtId="9" fontId="3" fillId="0" borderId="13" xfId="1" applyFont="1" applyBorder="1" applyAlignment="1">
      <alignment horizontal="center" vertical="center"/>
    </xf>
    <xf numFmtId="164" fontId="3" fillId="0" borderId="12"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24" xfId="0" applyFont="1" applyBorder="1" applyAlignment="1">
      <alignment horizontal="center" vertical="center"/>
    </xf>
    <xf numFmtId="164" fontId="3" fillId="0" borderId="25" xfId="0" applyNumberFormat="1" applyFont="1" applyBorder="1" applyAlignment="1">
      <alignment horizontal="center" vertical="center"/>
    </xf>
    <xf numFmtId="9" fontId="3" fillId="0" borderId="25" xfId="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2" fillId="0" borderId="7" xfId="0" applyNumberFormat="1" applyFont="1" applyBorder="1" applyAlignment="1">
      <alignment horizontal="center" vertical="center"/>
    </xf>
    <xf numFmtId="10" fontId="3" fillId="0" borderId="13" xfId="0" applyNumberFormat="1" applyFont="1" applyBorder="1" applyAlignment="1">
      <alignment horizontal="center" vertical="center"/>
    </xf>
    <xf numFmtId="10" fontId="3" fillId="0" borderId="12" xfId="0" applyNumberFormat="1" applyFont="1" applyBorder="1" applyAlignment="1">
      <alignment horizontal="center" vertical="center"/>
    </xf>
    <xf numFmtId="39" fontId="3" fillId="0" borderId="12" xfId="5" applyNumberFormat="1" applyFont="1" applyFill="1" applyBorder="1" applyAlignment="1" applyProtection="1">
      <alignment horizontal="center" vertical="center"/>
    </xf>
    <xf numFmtId="39" fontId="3" fillId="0" borderId="13" xfId="5" applyNumberFormat="1" applyFont="1" applyFill="1" applyBorder="1" applyAlignment="1" applyProtection="1">
      <alignment horizontal="center" vertical="center"/>
    </xf>
    <xf numFmtId="4" fontId="3" fillId="0" borderId="12" xfId="0" applyNumberFormat="1" applyFont="1" applyBorder="1" applyAlignment="1">
      <alignment horizontal="center" vertical="center"/>
    </xf>
    <xf numFmtId="4" fontId="3" fillId="0" borderId="13" xfId="0" applyNumberFormat="1" applyFont="1" applyBorder="1" applyAlignment="1">
      <alignment horizontal="center" vertical="center"/>
    </xf>
    <xf numFmtId="0" fontId="6" fillId="0" borderId="6" xfId="0" applyFont="1" applyBorder="1" applyAlignment="1">
      <alignment horizontal="center" vertical="center" wrapText="1"/>
    </xf>
    <xf numFmtId="164" fontId="6" fillId="0" borderId="13"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2" fillId="2" borderId="22"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0" xfId="0" applyFont="1" applyAlignment="1">
      <alignment horizontal="center" vertical="center"/>
    </xf>
    <xf numFmtId="0" fontId="2" fillId="2" borderId="1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0" borderId="0" xfId="0" applyFont="1" applyAlignment="1">
      <alignment horizontal="center" vertical="center"/>
    </xf>
    <xf numFmtId="0" fontId="24" fillId="0" borderId="0" xfId="0" applyFont="1" applyAlignment="1">
      <alignment horizontal="center" vertical="center" wrapText="1"/>
    </xf>
    <xf numFmtId="10" fontId="3" fillId="0" borderId="12" xfId="1" applyNumberFormat="1" applyFont="1" applyFill="1" applyBorder="1" applyAlignment="1">
      <alignment horizontal="center" vertical="center"/>
    </xf>
    <xf numFmtId="10" fontId="3" fillId="0" borderId="13" xfId="1" applyNumberFormat="1" applyFont="1" applyFill="1" applyBorder="1" applyAlignment="1">
      <alignment horizontal="center" vertical="center"/>
    </xf>
    <xf numFmtId="164" fontId="3" fillId="0" borderId="7" xfId="0" applyNumberFormat="1" applyFont="1" applyBorder="1" applyAlignment="1">
      <alignment horizontal="center" vertical="center"/>
    </xf>
    <xf numFmtId="0" fontId="24" fillId="0" borderId="0" xfId="0" applyFont="1" applyAlignment="1">
      <alignment horizontal="center" vertical="center"/>
    </xf>
    <xf numFmtId="0" fontId="3" fillId="36" borderId="4" xfId="0" applyFont="1" applyFill="1" applyBorder="1" applyAlignment="1">
      <alignment horizontal="center" vertical="center" wrapText="1"/>
    </xf>
    <xf numFmtId="0" fontId="30" fillId="0" borderId="4" xfId="0" applyFont="1" applyBorder="1" applyAlignment="1">
      <alignment horizontal="center" vertical="center"/>
    </xf>
    <xf numFmtId="0" fontId="30" fillId="0" borderId="6" xfId="0" applyFont="1" applyBorder="1" applyAlignment="1">
      <alignment horizontal="center" vertical="center"/>
    </xf>
    <xf numFmtId="10" fontId="30" fillId="0" borderId="5" xfId="1" applyNumberFormat="1" applyFont="1" applyBorder="1" applyAlignment="1">
      <alignment horizontal="center" vertical="center"/>
    </xf>
    <xf numFmtId="10" fontId="30" fillId="0" borderId="7" xfId="1" applyNumberFormat="1" applyFont="1" applyBorder="1" applyAlignment="1">
      <alignment horizontal="center" vertical="center"/>
    </xf>
    <xf numFmtId="10" fontId="3" fillId="0" borderId="12" xfId="1" applyNumberFormat="1" applyFont="1" applyFill="1" applyBorder="1" applyAlignment="1" applyProtection="1">
      <alignment horizontal="center" vertical="center"/>
    </xf>
    <xf numFmtId="10" fontId="3" fillId="0" borderId="13" xfId="1" applyNumberFormat="1" applyFont="1" applyFill="1" applyBorder="1" applyAlignment="1" applyProtection="1">
      <alignment horizontal="center" vertical="center"/>
    </xf>
    <xf numFmtId="0" fontId="4" fillId="0" borderId="0" xfId="0" applyFont="1" applyFill="1" applyBorder="1" applyAlignment="1">
      <alignment vertical="center"/>
    </xf>
    <xf numFmtId="0" fontId="4" fillId="3" borderId="31" xfId="0" applyFont="1" applyFill="1" applyBorder="1" applyAlignment="1">
      <alignment horizontal="center" vertical="center"/>
    </xf>
    <xf numFmtId="167" fontId="4" fillId="3" borderId="31" xfId="3" applyFont="1" applyFill="1" applyBorder="1" applyAlignment="1" applyProtection="1">
      <alignment horizontal="center" vertical="center"/>
    </xf>
    <xf numFmtId="0" fontId="3" fillId="0" borderId="4" xfId="0" applyFont="1" applyFill="1" applyBorder="1" applyAlignment="1">
      <alignment horizontal="center" vertical="center"/>
    </xf>
    <xf numFmtId="3" fontId="3" fillId="0" borderId="1" xfId="3" applyNumberFormat="1" applyFont="1" applyFill="1" applyBorder="1" applyAlignment="1" applyProtection="1">
      <alignment horizontal="center" vertical="center"/>
    </xf>
    <xf numFmtId="0" fontId="3" fillId="0" borderId="6" xfId="0" applyFont="1" applyFill="1" applyBorder="1" applyAlignment="1">
      <alignment horizontal="center" vertical="center"/>
    </xf>
    <xf numFmtId="3" fontId="3" fillId="0" borderId="13" xfId="3" applyNumberFormat="1" applyFont="1" applyFill="1" applyBorder="1" applyAlignment="1" applyProtection="1">
      <alignment horizontal="center" vertical="center"/>
    </xf>
    <xf numFmtId="4" fontId="4" fillId="3" borderId="33" xfId="0" applyNumberFormat="1" applyFont="1" applyFill="1" applyBorder="1" applyAlignment="1">
      <alignment horizontal="center" vertical="center"/>
    </xf>
    <xf numFmtId="0" fontId="3" fillId="0" borderId="0" xfId="0" applyFont="1" applyBorder="1" applyAlignment="1">
      <alignment horizontal="center" vertical="center"/>
    </xf>
    <xf numFmtId="167" fontId="3" fillId="0" borderId="0" xfId="3" applyFont="1" applyFill="1" applyBorder="1" applyAlignment="1" applyProtection="1">
      <alignment horizontal="center" vertical="center"/>
    </xf>
    <xf numFmtId="167" fontId="3" fillId="0" borderId="0" xfId="0" applyNumberFormat="1" applyFont="1" applyBorder="1" applyAlignment="1">
      <alignment horizontal="center" vertical="center"/>
    </xf>
    <xf numFmtId="0" fontId="4" fillId="0" borderId="0"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4" fontId="3" fillId="0" borderId="12" xfId="3" applyNumberFormat="1" applyFont="1" applyFill="1" applyBorder="1" applyAlignment="1" applyProtection="1">
      <alignment horizontal="center" vertical="center"/>
    </xf>
    <xf numFmtId="4" fontId="4" fillId="0" borderId="3" xfId="3" applyNumberFormat="1" applyFont="1" applyFill="1" applyBorder="1" applyAlignment="1" applyProtection="1">
      <alignment horizontal="center" vertical="center"/>
    </xf>
    <xf numFmtId="0" fontId="3" fillId="0" borderId="0" xfId="0" applyFont="1" applyFill="1" applyBorder="1" applyAlignment="1">
      <alignment horizontal="center" vertical="center"/>
    </xf>
    <xf numFmtId="4" fontId="3" fillId="0" borderId="1" xfId="3" applyNumberFormat="1" applyFont="1" applyFill="1" applyBorder="1" applyAlignment="1" applyProtection="1">
      <alignment horizontal="center" vertical="center"/>
    </xf>
    <xf numFmtId="4" fontId="4" fillId="0" borderId="5" xfId="3" applyNumberFormat="1" applyFont="1" applyFill="1" applyBorder="1" applyAlignment="1" applyProtection="1">
      <alignment horizontal="center" vertical="center"/>
    </xf>
    <xf numFmtId="4" fontId="3" fillId="0" borderId="13" xfId="3" applyNumberFormat="1" applyFont="1" applyFill="1" applyBorder="1" applyAlignment="1" applyProtection="1">
      <alignment horizontal="center" vertical="center"/>
    </xf>
    <xf numFmtId="4" fontId="3" fillId="0" borderId="14" xfId="3" applyNumberFormat="1" applyFont="1" applyFill="1" applyBorder="1" applyAlignment="1" applyProtection="1">
      <alignment horizontal="center" vertical="center"/>
    </xf>
    <xf numFmtId="2" fontId="32" fillId="0" borderId="13" xfId="3" applyNumberFormat="1" applyFont="1" applyBorder="1" applyAlignment="1">
      <alignment horizontal="center" vertical="center"/>
    </xf>
    <xf numFmtId="4" fontId="3" fillId="0" borderId="7" xfId="0" applyNumberFormat="1" applyFont="1" applyBorder="1" applyAlignment="1">
      <alignment horizontal="center" vertical="center"/>
    </xf>
    <xf numFmtId="4" fontId="4" fillId="0" borderId="5" xfId="0" applyNumberFormat="1" applyFont="1" applyFill="1" applyBorder="1" applyAlignment="1">
      <alignment horizontal="center" vertical="center"/>
    </xf>
    <xf numFmtId="0" fontId="2" fillId="0" borderId="0" xfId="0" applyFont="1" applyAlignment="1">
      <alignment vertical="center"/>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0" xfId="0" applyFont="1" applyBorder="1" applyAlignment="1">
      <alignment vertical="center" wrapText="1"/>
    </xf>
    <xf numFmtId="0" fontId="3" fillId="0" borderId="50" xfId="0" applyFont="1" applyBorder="1" applyAlignment="1">
      <alignment horizontal="center" vertical="center" wrapText="1"/>
    </xf>
    <xf numFmtId="10" fontId="3" fillId="0" borderId="50" xfId="0" applyNumberFormat="1" applyFont="1" applyBorder="1" applyAlignment="1">
      <alignment horizontal="center" vertical="center" wrapText="1"/>
    </xf>
    <xf numFmtId="10" fontId="3" fillId="35" borderId="5" xfId="1" applyNumberFormat="1" applyFont="1" applyFill="1" applyBorder="1" applyAlignment="1">
      <alignment horizontal="center" vertical="center"/>
    </xf>
    <xf numFmtId="0" fontId="3" fillId="0" borderId="50" xfId="0" applyFont="1" applyBorder="1" applyAlignment="1">
      <alignment horizontal="justify" vertical="center" wrapText="1"/>
    </xf>
    <xf numFmtId="0" fontId="2" fillId="0" borderId="29" xfId="0" applyFont="1" applyBorder="1" applyAlignment="1">
      <alignment vertical="center" wrapText="1"/>
    </xf>
    <xf numFmtId="0" fontId="3" fillId="0" borderId="0" xfId="0" applyFont="1"/>
    <xf numFmtId="0" fontId="2" fillId="0" borderId="33" xfId="0" applyFont="1" applyBorder="1" applyAlignment="1">
      <alignment horizontal="center" vertical="center" wrapText="1"/>
    </xf>
    <xf numFmtId="0" fontId="2" fillId="39" borderId="16" xfId="0" applyFont="1" applyFill="1" applyBorder="1" applyAlignment="1">
      <alignment horizontal="center" vertical="center"/>
    </xf>
    <xf numFmtId="10" fontId="2" fillId="39" borderId="17" xfId="1" applyNumberFormat="1" applyFont="1" applyFill="1" applyBorder="1" applyAlignment="1">
      <alignment horizontal="center" vertical="center"/>
    </xf>
    <xf numFmtId="10" fontId="3" fillId="35" borderId="12" xfId="0" applyNumberFormat="1" applyFont="1" applyFill="1" applyBorder="1" applyAlignment="1">
      <alignment horizontal="center" vertical="center"/>
    </xf>
    <xf numFmtId="10" fontId="3" fillId="35" borderId="13" xfId="0" applyNumberFormat="1" applyFont="1" applyFill="1" applyBorder="1" applyAlignment="1">
      <alignment horizontal="center" vertical="center"/>
    </xf>
    <xf numFmtId="0" fontId="2" fillId="0" borderId="0" xfId="0" applyFont="1" applyAlignment="1">
      <alignment horizontal="center" vertical="center"/>
    </xf>
    <xf numFmtId="0" fontId="24" fillId="0" borderId="0" xfId="0" applyFont="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4" fillId="0" borderId="0" xfId="0" applyFont="1" applyAlignment="1">
      <alignment horizontal="center" vertical="center"/>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2" fillId="40" borderId="0" xfId="0" applyFont="1" applyFill="1" applyAlignment="1">
      <alignment horizontal="center"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3" fillId="40" borderId="0" xfId="0" applyFont="1" applyFill="1" applyAlignment="1">
      <alignment horizont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4" fillId="0" borderId="0" xfId="0" applyFont="1" applyAlignment="1">
      <alignment horizontal="left"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4" fillId="37" borderId="0" xfId="0" applyFont="1" applyFill="1" applyAlignment="1">
      <alignment horizontal="left"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0" xfId="0" applyFont="1" applyAlignment="1">
      <alignment horizontal="center" vertical="center"/>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9" fillId="0" borderId="0" xfId="0" applyFont="1" applyAlignment="1">
      <alignment horizontal="center" vertical="center" wrapText="1"/>
    </xf>
    <xf numFmtId="0" fontId="3"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2" borderId="0" xfId="0" applyFont="1" applyFill="1" applyAlignment="1">
      <alignment horizontal="center" vertical="center"/>
    </xf>
    <xf numFmtId="0" fontId="2" fillId="38" borderId="0" xfId="0" applyFont="1" applyFill="1" applyBorder="1" applyAlignment="1">
      <alignment horizontal="center" vertical="center"/>
    </xf>
    <xf numFmtId="0" fontId="2" fillId="2" borderId="0" xfId="0" applyFont="1" applyFill="1" applyBorder="1" applyAlignment="1">
      <alignment horizontal="center" vertical="center"/>
    </xf>
    <xf numFmtId="0" fontId="24" fillId="0" borderId="0" xfId="0" applyFont="1" applyAlignment="1">
      <alignment horizontal="center"/>
    </xf>
    <xf numFmtId="0" fontId="2" fillId="38" borderId="0" xfId="0" applyFont="1" applyFill="1" applyBorder="1" applyAlignment="1">
      <alignment horizontal="center" vertical="center" wrapText="1"/>
    </xf>
    <xf numFmtId="0" fontId="2" fillId="41" borderId="27" xfId="0" applyFont="1" applyFill="1" applyBorder="1" applyAlignment="1">
      <alignment horizontal="center" vertical="center"/>
    </xf>
    <xf numFmtId="0" fontId="2" fillId="41" borderId="28" xfId="0" applyFont="1" applyFill="1" applyBorder="1" applyAlignment="1">
      <alignment horizontal="center" vertical="center"/>
    </xf>
    <xf numFmtId="0" fontId="2" fillId="41" borderId="29" xfId="0" applyFont="1" applyFill="1" applyBorder="1" applyAlignment="1">
      <alignment horizontal="center" vertical="center"/>
    </xf>
    <xf numFmtId="0" fontId="3" fillId="0" borderId="4" xfId="0" applyFont="1" applyBorder="1" applyAlignment="1">
      <alignment horizontal="center" vertical="center"/>
    </xf>
    <xf numFmtId="0" fontId="34" fillId="0" borderId="1" xfId="0" applyFont="1" applyBorder="1" applyAlignment="1">
      <alignment horizontal="center" vertical="center"/>
    </xf>
    <xf numFmtId="0" fontId="34" fillId="0" borderId="1" xfId="0" applyFont="1" applyBorder="1" applyAlignment="1">
      <alignment horizontal="center"/>
    </xf>
    <xf numFmtId="44" fontId="34" fillId="0" borderId="1" xfId="53" applyFont="1" applyBorder="1" applyAlignment="1">
      <alignment horizontal="center" vertical="center"/>
    </xf>
    <xf numFmtId="0" fontId="34" fillId="0" borderId="5" xfId="0" applyFont="1" applyBorder="1" applyAlignment="1">
      <alignment horizontal="center" vertical="center"/>
    </xf>
    <xf numFmtId="0" fontId="21" fillId="42" borderId="4" xfId="0" applyFont="1" applyFill="1" applyBorder="1" applyAlignment="1">
      <alignment horizontal="center"/>
    </xf>
    <xf numFmtId="0" fontId="21" fillId="42" borderId="1" xfId="0" applyFont="1" applyFill="1" applyBorder="1" applyAlignment="1">
      <alignment horizontal="center"/>
    </xf>
    <xf numFmtId="44" fontId="35" fillId="42" borderId="5" xfId="53" applyFont="1" applyFill="1" applyBorder="1"/>
    <xf numFmtId="0" fontId="21" fillId="42" borderId="6" xfId="0" applyFont="1" applyFill="1" applyBorder="1" applyAlignment="1">
      <alignment horizontal="center"/>
    </xf>
    <xf numFmtId="0" fontId="21" fillId="42" borderId="13" xfId="0" applyFont="1" applyFill="1" applyBorder="1" applyAlignment="1">
      <alignment horizontal="center"/>
    </xf>
    <xf numFmtId="44" fontId="35" fillId="42" borderId="7" xfId="53" applyFont="1" applyFill="1" applyBorder="1"/>
    <xf numFmtId="0" fontId="36" fillId="0" borderId="0" xfId="0" applyFont="1"/>
    <xf numFmtId="0" fontId="37" fillId="2" borderId="51" xfId="0" applyFont="1" applyFill="1" applyBorder="1" applyAlignment="1">
      <alignment horizontal="center" vertical="center"/>
    </xf>
    <xf numFmtId="0" fontId="37" fillId="2" borderId="53" xfId="0" applyFont="1" applyFill="1" applyBorder="1" applyAlignment="1">
      <alignment horizontal="center" vertical="center"/>
    </xf>
    <xf numFmtId="0" fontId="37" fillId="2" borderId="54"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21" xfId="0" applyFont="1" applyFill="1" applyBorder="1" applyAlignment="1">
      <alignment horizontal="center" vertical="center" wrapText="1"/>
    </xf>
    <xf numFmtId="0" fontId="38" fillId="2" borderId="22" xfId="0" applyFont="1" applyFill="1" applyBorder="1" applyAlignment="1">
      <alignment horizontal="center" vertical="center"/>
    </xf>
    <xf numFmtId="0" fontId="38" fillId="2" borderId="22" xfId="0" applyFont="1" applyFill="1" applyBorder="1" applyAlignment="1">
      <alignment horizontal="center" vertical="center" wrapText="1"/>
    </xf>
    <xf numFmtId="0" fontId="38" fillId="2" borderId="23" xfId="0" applyFont="1" applyFill="1" applyBorder="1" applyAlignment="1">
      <alignment horizontal="center" vertical="center" wrapText="1"/>
    </xf>
    <xf numFmtId="0" fontId="3" fillId="0" borderId="24" xfId="0" applyFont="1" applyBorder="1" applyAlignment="1">
      <alignment horizontal="center" vertical="center"/>
    </xf>
    <xf numFmtId="2" fontId="34" fillId="0" borderId="1" xfId="0" applyNumberFormat="1" applyFont="1" applyBorder="1" applyAlignment="1">
      <alignment horizontal="center"/>
    </xf>
    <xf numFmtId="0" fontId="0" fillId="0" borderId="1" xfId="0" applyBorder="1"/>
    <xf numFmtId="168" fontId="34" fillId="0" borderId="5" xfId="0" applyNumberFormat="1" applyFont="1" applyBorder="1" applyAlignment="1">
      <alignment horizontal="center" vertical="center"/>
    </xf>
    <xf numFmtId="0" fontId="3" fillId="0" borderId="8" xfId="0" applyFont="1" applyBorder="1" applyAlignment="1">
      <alignment horizontal="center" vertical="center"/>
    </xf>
    <xf numFmtId="0" fontId="21" fillId="42" borderId="55" xfId="0" applyFont="1" applyFill="1" applyBorder="1" applyAlignment="1">
      <alignment horizontal="center"/>
    </xf>
    <xf numFmtId="0" fontId="21" fillId="42" borderId="56" xfId="0" applyFont="1" applyFill="1" applyBorder="1" applyAlignment="1">
      <alignment horizontal="center"/>
    </xf>
    <xf numFmtId="0" fontId="21" fillId="42" borderId="57" xfId="0" applyFont="1" applyFill="1" applyBorder="1" applyAlignment="1">
      <alignment horizontal="center"/>
    </xf>
    <xf numFmtId="0" fontId="21" fillId="42" borderId="58" xfId="0" applyFont="1" applyFill="1" applyBorder="1" applyAlignment="1">
      <alignment horizontal="center"/>
    </xf>
    <xf numFmtId="0" fontId="21" fillId="42" borderId="59" xfId="0" applyFont="1" applyFill="1" applyBorder="1" applyAlignment="1">
      <alignment horizontal="center"/>
    </xf>
    <xf numFmtId="0" fontId="21" fillId="42" borderId="60" xfId="0" applyFont="1" applyFill="1" applyBorder="1" applyAlignment="1">
      <alignment horizontal="center"/>
    </xf>
    <xf numFmtId="0" fontId="21" fillId="0" borderId="0" xfId="0" applyFont="1" applyAlignment="1">
      <alignment horizontal="center" wrapText="1"/>
    </xf>
    <xf numFmtId="0" fontId="34" fillId="0" borderId="0" xfId="0" applyFont="1" applyAlignment="1">
      <alignment vertical="center"/>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40" fillId="43" borderId="51" xfId="0" applyFont="1" applyFill="1" applyBorder="1" applyAlignment="1">
      <alignment horizontal="center" vertical="center" wrapText="1"/>
    </xf>
    <xf numFmtId="0" fontId="40" fillId="43" borderId="53" xfId="0" applyFont="1" applyFill="1" applyBorder="1" applyAlignment="1">
      <alignment horizontal="center" vertical="center" wrapText="1"/>
    </xf>
    <xf numFmtId="0" fontId="40" fillId="43" borderId="52" xfId="0" applyFont="1" applyFill="1" applyBorder="1" applyAlignment="1">
      <alignment horizontal="center" vertical="center" wrapText="1"/>
    </xf>
    <xf numFmtId="0" fontId="41" fillId="44" borderId="61" xfId="0" applyFont="1" applyFill="1" applyBorder="1" applyAlignment="1">
      <alignment horizontal="center" vertical="center" wrapText="1"/>
    </xf>
    <xf numFmtId="0" fontId="41" fillId="44" borderId="1" xfId="0" applyFont="1" applyFill="1" applyBorder="1" applyAlignment="1">
      <alignment horizontal="center" vertical="center" wrapText="1"/>
    </xf>
    <xf numFmtId="0" fontId="42" fillId="44" borderId="1" xfId="0" applyFont="1" applyFill="1" applyBorder="1" applyAlignment="1">
      <alignment horizontal="center" vertical="center" wrapText="1"/>
    </xf>
    <xf numFmtId="0" fontId="42" fillId="44" borderId="5" xfId="0" applyFont="1" applyFill="1" applyBorder="1" applyAlignment="1">
      <alignment horizontal="center" vertical="center" wrapText="1"/>
    </xf>
    <xf numFmtId="0" fontId="41" fillId="44" borderId="49" xfId="0" applyFont="1" applyFill="1" applyBorder="1" applyAlignment="1">
      <alignment horizontal="center" vertical="center" wrapText="1"/>
    </xf>
    <xf numFmtId="0" fontId="41" fillId="44" borderId="13" xfId="0" applyFont="1" applyFill="1" applyBorder="1" applyAlignment="1">
      <alignment horizontal="center" vertical="center" wrapText="1"/>
    </xf>
    <xf numFmtId="0" fontId="42" fillId="44" borderId="13" xfId="0" applyFont="1" applyFill="1" applyBorder="1" applyAlignment="1">
      <alignment horizontal="center" vertical="center" wrapText="1"/>
    </xf>
    <xf numFmtId="0" fontId="42" fillId="44" borderId="7" xfId="0" applyFont="1" applyFill="1" applyBorder="1" applyAlignment="1">
      <alignment horizontal="center" vertical="center" wrapText="1"/>
    </xf>
    <xf numFmtId="0" fontId="21" fillId="0" borderId="21" xfId="0" applyFont="1" applyBorder="1" applyAlignment="1">
      <alignment horizontal="center" vertical="center" textRotation="90"/>
    </xf>
    <xf numFmtId="0" fontId="43" fillId="0" borderId="22" xfId="0" applyFont="1" applyBorder="1" applyAlignment="1">
      <alignment horizontal="center" vertical="center" wrapText="1"/>
    </xf>
    <xf numFmtId="0" fontId="43" fillId="0" borderId="14" xfId="0" applyFont="1" applyBorder="1" applyAlignment="1">
      <alignment horizontal="center" vertical="center" wrapText="1"/>
    </xf>
    <xf numFmtId="168" fontId="43" fillId="0" borderId="14" xfId="0" applyNumberFormat="1" applyFont="1" applyBorder="1" applyAlignment="1">
      <alignment horizontal="center" vertical="center" wrapText="1"/>
    </xf>
    <xf numFmtId="2" fontId="34" fillId="0" borderId="14" xfId="0" applyNumberFormat="1" applyFont="1" applyBorder="1" applyAlignment="1">
      <alignment horizontal="center" vertical="center" wrapText="1"/>
    </xf>
    <xf numFmtId="43" fontId="43" fillId="0" borderId="14" xfId="0" applyNumberFormat="1" applyFont="1" applyBorder="1" applyAlignment="1">
      <alignment horizontal="right" vertical="center" wrapText="1"/>
    </xf>
    <xf numFmtId="44" fontId="43" fillId="0" borderId="14" xfId="53" applyFont="1" applyBorder="1" applyAlignment="1">
      <alignment horizontal="right" vertical="center" wrapText="1"/>
    </xf>
    <xf numFmtId="0" fontId="43" fillId="0" borderId="1" xfId="0" applyFont="1" applyBorder="1" applyAlignment="1">
      <alignment horizontal="center" vertical="center" wrapText="1"/>
    </xf>
    <xf numFmtId="168" fontId="43" fillId="0" borderId="1" xfId="0" applyNumberFormat="1" applyFont="1" applyBorder="1" applyAlignment="1">
      <alignment horizontal="center" vertical="center" wrapText="1"/>
    </xf>
    <xf numFmtId="2" fontId="34" fillId="0" borderId="1" xfId="0" applyNumberFormat="1" applyFont="1" applyBorder="1" applyAlignment="1">
      <alignment horizontal="center" vertical="center" wrapText="1"/>
    </xf>
    <xf numFmtId="43" fontId="43" fillId="0" borderId="1" xfId="0" applyNumberFormat="1" applyFont="1" applyBorder="1" applyAlignment="1">
      <alignment horizontal="right" vertical="center" wrapText="1"/>
    </xf>
    <xf numFmtId="44" fontId="43" fillId="0" borderId="1" xfId="53" applyFont="1" applyBorder="1" applyAlignment="1">
      <alignment horizontal="right" vertical="center" wrapText="1"/>
    </xf>
    <xf numFmtId="0" fontId="43" fillId="0" borderId="14"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1" xfId="0" applyFont="1" applyBorder="1" applyAlignment="1">
      <alignment horizontal="right" vertical="center" wrapText="1"/>
    </xf>
    <xf numFmtId="0" fontId="42" fillId="44" borderId="62" xfId="0" applyFont="1" applyFill="1" applyBorder="1" applyAlignment="1">
      <alignment horizontal="center" wrapText="1"/>
    </xf>
    <xf numFmtId="0" fontId="42" fillId="44" borderId="63" xfId="0" applyFont="1" applyFill="1" applyBorder="1" applyAlignment="1">
      <alignment horizontal="center" wrapText="1"/>
    </xf>
    <xf numFmtId="0" fontId="42" fillId="44" borderId="63" xfId="0" applyFont="1" applyFill="1" applyBorder="1" applyAlignment="1">
      <alignment horizontal="center" wrapText="1"/>
    </xf>
    <xf numFmtId="168" fontId="42" fillId="44" borderId="64" xfId="0" applyNumberFormat="1" applyFont="1" applyFill="1" applyBorder="1" applyAlignment="1">
      <alignment wrapText="1"/>
    </xf>
    <xf numFmtId="0" fontId="21" fillId="0" borderId="16" xfId="0" applyFont="1" applyBorder="1" applyAlignment="1">
      <alignment horizontal="center" vertical="center" textRotation="90"/>
    </xf>
    <xf numFmtId="0" fontId="42" fillId="44" borderId="36" xfId="0" applyFont="1" applyFill="1" applyBorder="1" applyAlignment="1">
      <alignment horizontal="center" wrapText="1"/>
    </xf>
    <xf numFmtId="0" fontId="42" fillId="44" borderId="59" xfId="0" applyFont="1" applyFill="1" applyBorder="1" applyAlignment="1">
      <alignment horizontal="center" wrapText="1"/>
    </xf>
    <xf numFmtId="0" fontId="42" fillId="44" borderId="59" xfId="0" applyFont="1" applyFill="1" applyBorder="1" applyAlignment="1">
      <alignment horizontal="center" wrapText="1"/>
    </xf>
    <xf numFmtId="168" fontId="42" fillId="44" borderId="65" xfId="0" applyNumberFormat="1" applyFont="1" applyFill="1" applyBorder="1" applyAlignment="1">
      <alignment wrapText="1"/>
    </xf>
    <xf numFmtId="0" fontId="21" fillId="0" borderId="18" xfId="0" applyFont="1" applyBorder="1" applyAlignment="1">
      <alignment horizontal="center" vertical="center" textRotation="90"/>
    </xf>
    <xf numFmtId="0" fontId="43" fillId="0" borderId="19" xfId="0" applyFont="1" applyBorder="1" applyAlignment="1">
      <alignment horizontal="center" vertical="center" wrapText="1"/>
    </xf>
    <xf numFmtId="0" fontId="43" fillId="0" borderId="12" xfId="0" applyFont="1" applyBorder="1" applyAlignment="1">
      <alignment horizontal="center" vertical="center" wrapText="1"/>
    </xf>
    <xf numFmtId="168" fontId="43" fillId="0" borderId="12" xfId="0" applyNumberFormat="1" applyFont="1" applyBorder="1" applyAlignment="1">
      <alignment horizontal="center" vertical="center" wrapText="1"/>
    </xf>
    <xf numFmtId="2" fontId="34" fillId="0" borderId="12" xfId="0" applyNumberFormat="1" applyFont="1" applyBorder="1" applyAlignment="1">
      <alignment horizontal="center" vertical="center" wrapText="1"/>
    </xf>
    <xf numFmtId="2" fontId="43" fillId="0" borderId="12" xfId="0" applyNumberFormat="1" applyFont="1" applyBorder="1" applyAlignment="1">
      <alignment horizontal="center" vertical="center" wrapText="1"/>
    </xf>
    <xf numFmtId="2" fontId="43" fillId="0" borderId="1" xfId="0" applyNumberFormat="1" applyFont="1" applyBorder="1" applyAlignment="1">
      <alignment horizontal="center" vertical="center" wrapText="1"/>
    </xf>
    <xf numFmtId="0" fontId="43" fillId="0" borderId="25" xfId="0" applyFont="1" applyBorder="1" applyAlignment="1">
      <alignment horizontal="center" vertical="center" wrapText="1"/>
    </xf>
    <xf numFmtId="168" fontId="43" fillId="0" borderId="25" xfId="0" applyNumberFormat="1" applyFont="1" applyBorder="1" applyAlignment="1">
      <alignment horizontal="center" vertical="center" wrapText="1"/>
    </xf>
    <xf numFmtId="2" fontId="34" fillId="0" borderId="25" xfId="0" applyNumberFormat="1" applyFont="1" applyBorder="1" applyAlignment="1">
      <alignment horizontal="center" vertical="center" wrapText="1"/>
    </xf>
    <xf numFmtId="2" fontId="43" fillId="0" borderId="25" xfId="0" applyNumberFormat="1" applyFont="1" applyBorder="1" applyAlignment="1">
      <alignment horizontal="center" vertical="center" wrapText="1"/>
    </xf>
    <xf numFmtId="0" fontId="21" fillId="0" borderId="48" xfId="0" applyFont="1" applyBorder="1" applyAlignment="1">
      <alignment horizontal="center" vertical="center" textRotation="90"/>
    </xf>
    <xf numFmtId="0" fontId="42" fillId="44" borderId="62" xfId="0" applyFont="1" applyFill="1" applyBorder="1" applyAlignment="1">
      <alignment horizontal="center"/>
    </xf>
    <xf numFmtId="0" fontId="42" fillId="44" borderId="63" xfId="0" applyFont="1" applyFill="1" applyBorder="1" applyAlignment="1">
      <alignment horizontal="center"/>
    </xf>
    <xf numFmtId="0" fontId="42" fillId="44" borderId="66" xfId="0" applyFont="1" applyFill="1" applyBorder="1" applyAlignment="1">
      <alignment horizontal="center" wrapText="1"/>
    </xf>
    <xf numFmtId="168" fontId="42" fillId="44" borderId="67" xfId="0" applyNumberFormat="1" applyFont="1" applyFill="1" applyBorder="1"/>
    <xf numFmtId="0" fontId="21" fillId="0" borderId="49" xfId="0" applyFont="1" applyBorder="1" applyAlignment="1">
      <alignment horizontal="center" vertical="center" textRotation="90"/>
    </xf>
    <xf numFmtId="0" fontId="42" fillId="44" borderId="36" xfId="0" applyFont="1" applyFill="1" applyBorder="1" applyAlignment="1">
      <alignment horizontal="center"/>
    </xf>
    <xf numFmtId="0" fontId="42" fillId="44" borderId="59" xfId="0" applyFont="1" applyFill="1" applyBorder="1" applyAlignment="1">
      <alignment horizontal="center"/>
    </xf>
    <xf numFmtId="0" fontId="42" fillId="44" borderId="60" xfId="0" applyFont="1" applyFill="1" applyBorder="1" applyAlignment="1">
      <alignment horizontal="center" wrapText="1"/>
    </xf>
    <xf numFmtId="168" fontId="42" fillId="44" borderId="65" xfId="0" applyNumberFormat="1" applyFont="1" applyFill="1" applyBorder="1"/>
    <xf numFmtId="0" fontId="21" fillId="45" borderId="2" xfId="0" applyFont="1" applyFill="1" applyBorder="1" applyAlignment="1">
      <alignment horizontal="center"/>
    </xf>
    <xf numFmtId="0" fontId="21" fillId="45" borderId="12" xfId="0" applyFont="1" applyFill="1" applyBorder="1" applyAlignment="1">
      <alignment horizontal="center"/>
    </xf>
    <xf numFmtId="168" fontId="35" fillId="45" borderId="3" xfId="0" applyNumberFormat="1" applyFont="1" applyFill="1" applyBorder="1"/>
    <xf numFmtId="0" fontId="21" fillId="45" borderId="6" xfId="0" applyFont="1" applyFill="1" applyBorder="1" applyAlignment="1">
      <alignment horizontal="center"/>
    </xf>
    <xf numFmtId="0" fontId="21" fillId="45" borderId="13" xfId="0" applyFont="1" applyFill="1" applyBorder="1" applyAlignment="1">
      <alignment horizontal="center"/>
    </xf>
    <xf numFmtId="168" fontId="35" fillId="45" borderId="7" xfId="0" applyNumberFormat="1" applyFont="1" applyFill="1" applyBorder="1"/>
    <xf numFmtId="2" fontId="3" fillId="0" borderId="12" xfId="0" applyNumberFormat="1" applyFont="1" applyBorder="1" applyAlignment="1">
      <alignment horizontal="center" vertical="center"/>
    </xf>
    <xf numFmtId="0" fontId="2" fillId="2" borderId="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7" xfId="0" applyFont="1" applyFill="1" applyBorder="1" applyAlignment="1">
      <alignment horizontal="center" vertical="center"/>
    </xf>
    <xf numFmtId="164" fontId="2" fillId="0" borderId="12" xfId="0" applyNumberFormat="1" applyFont="1" applyBorder="1" applyAlignment="1">
      <alignment horizontal="center" vertical="center"/>
    </xf>
    <xf numFmtId="164" fontId="2" fillId="0" borderId="13" xfId="0" applyNumberFormat="1" applyFont="1" applyBorder="1" applyAlignment="1">
      <alignment horizontal="center" vertical="center"/>
    </xf>
    <xf numFmtId="164" fontId="3"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0" fontId="3" fillId="0" borderId="48" xfId="0" applyFont="1" applyBorder="1" applyAlignment="1">
      <alignment horizontal="center" vertical="center"/>
    </xf>
    <xf numFmtId="10" fontId="3" fillId="0" borderId="3" xfId="1" applyNumberFormat="1" applyFont="1" applyFill="1" applyBorder="1" applyAlignment="1">
      <alignment horizontal="center" vertical="center"/>
    </xf>
    <xf numFmtId="10" fontId="3" fillId="0" borderId="7" xfId="1" applyNumberFormat="1" applyFont="1" applyFill="1" applyBorder="1" applyAlignment="1">
      <alignment horizontal="center" vertical="center"/>
    </xf>
    <xf numFmtId="0" fontId="3" fillId="0" borderId="0" xfId="0" applyFont="1" applyBorder="1" applyAlignment="1">
      <alignment horizontal="left" vertical="center"/>
    </xf>
    <xf numFmtId="0" fontId="44" fillId="0" borderId="0" xfId="0" applyFont="1" applyBorder="1" applyAlignment="1">
      <alignment horizontal="left" vertical="center"/>
    </xf>
    <xf numFmtId="10" fontId="3" fillId="36" borderId="4" xfId="1"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165" fontId="3" fillId="0" borderId="14" xfId="0" applyNumberFormat="1" applyFont="1" applyBorder="1" applyAlignment="1">
      <alignment horizontal="center" vertical="center" wrapText="1"/>
    </xf>
    <xf numFmtId="165" fontId="3" fillId="0" borderId="9" xfId="0" applyNumberFormat="1" applyFont="1" applyBorder="1" applyAlignment="1">
      <alignment horizontal="center" vertical="center" wrapText="1"/>
    </xf>
    <xf numFmtId="0" fontId="31" fillId="3" borderId="2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9" xfId="0" applyFont="1" applyFill="1" applyBorder="1" applyAlignment="1">
      <alignment horizontal="center" vertical="center"/>
    </xf>
    <xf numFmtId="0" fontId="3" fillId="0" borderId="2" xfId="0" applyFont="1" applyFill="1" applyBorder="1" applyAlignment="1">
      <alignment horizontal="center" vertical="center"/>
    </xf>
    <xf numFmtId="3" fontId="3" fillId="0" borderId="12" xfId="3" applyNumberFormat="1" applyFont="1" applyFill="1" applyBorder="1" applyAlignment="1" applyProtection="1">
      <alignment horizontal="center" vertical="center"/>
    </xf>
    <xf numFmtId="44" fontId="30" fillId="0" borderId="12" xfId="53" applyFont="1" applyFill="1" applyBorder="1" applyAlignment="1">
      <alignment horizontal="center" vertical="center"/>
    </xf>
    <xf numFmtId="44" fontId="30" fillId="0" borderId="3" xfId="53" applyFont="1" applyFill="1" applyBorder="1" applyAlignment="1">
      <alignment horizontal="center" vertical="center"/>
    </xf>
    <xf numFmtId="44" fontId="30" fillId="0" borderId="1" xfId="53" applyFont="1" applyFill="1" applyBorder="1" applyAlignment="1">
      <alignment horizontal="center" vertical="center"/>
    </xf>
    <xf numFmtId="44" fontId="30" fillId="0" borderId="5" xfId="53" applyFont="1" applyFill="1" applyBorder="1" applyAlignment="1">
      <alignment horizontal="center" vertical="center"/>
    </xf>
    <xf numFmtId="44" fontId="3" fillId="0" borderId="1" xfId="53" applyFont="1" applyFill="1" applyBorder="1" applyAlignment="1" applyProtection="1">
      <alignment horizontal="center" vertical="center"/>
    </xf>
    <xf numFmtId="44" fontId="3" fillId="0" borderId="13" xfId="53" applyFont="1" applyFill="1" applyBorder="1" applyAlignment="1" applyProtection="1">
      <alignment horizontal="center" vertical="center"/>
    </xf>
    <xf numFmtId="44" fontId="30" fillId="0" borderId="7" xfId="53" applyFont="1" applyFill="1" applyBorder="1" applyAlignment="1">
      <alignment horizontal="center" vertical="center"/>
    </xf>
    <xf numFmtId="0" fontId="31" fillId="0" borderId="0" xfId="0" applyFont="1" applyFill="1" applyBorder="1" applyAlignment="1">
      <alignment vertical="center"/>
    </xf>
    <xf numFmtId="0" fontId="31" fillId="3" borderId="18" xfId="0" applyFont="1" applyFill="1" applyBorder="1" applyAlignment="1">
      <alignment horizontal="center" vertical="center"/>
    </xf>
    <xf numFmtId="0" fontId="31" fillId="3" borderId="19" xfId="0" applyFont="1" applyFill="1" applyBorder="1" applyAlignment="1">
      <alignment horizontal="center" vertical="center"/>
    </xf>
    <xf numFmtId="0" fontId="31" fillId="3" borderId="19" xfId="0" applyFont="1" applyFill="1" applyBorder="1" applyAlignment="1">
      <alignment horizontal="center" vertical="center" wrapText="1"/>
    </xf>
    <xf numFmtId="2" fontId="32" fillId="0" borderId="12" xfId="3" applyNumberFormat="1" applyFont="1" applyBorder="1" applyAlignment="1">
      <alignment horizontal="center" vertical="center"/>
    </xf>
    <xf numFmtId="4" fontId="3" fillId="0" borderId="3" xfId="0" applyNumberFormat="1" applyFont="1" applyBorder="1" applyAlignment="1">
      <alignment horizontal="center" vertical="center"/>
    </xf>
    <xf numFmtId="4" fontId="2" fillId="2" borderId="17" xfId="0" applyNumberFormat="1" applyFont="1" applyFill="1" applyBorder="1" applyAlignment="1">
      <alignment horizontal="center" vertical="center"/>
    </xf>
    <xf numFmtId="0" fontId="31" fillId="3" borderId="16" xfId="0" applyFont="1" applyFill="1" applyBorder="1" applyAlignment="1">
      <alignment horizontal="center" vertical="center"/>
    </xf>
    <xf numFmtId="0" fontId="31" fillId="3" borderId="68" xfId="0" applyFont="1" applyFill="1" applyBorder="1" applyAlignment="1">
      <alignment horizontal="center" vertical="center"/>
    </xf>
    <xf numFmtId="0" fontId="3" fillId="0" borderId="16" xfId="0" applyFont="1" applyBorder="1" applyAlignment="1">
      <alignment horizontal="center" vertical="center"/>
    </xf>
    <xf numFmtId="4" fontId="3" fillId="0" borderId="68" xfId="3" applyNumberFormat="1" applyFont="1" applyFill="1" applyBorder="1" applyAlignment="1" applyProtection="1">
      <alignment horizontal="center" vertical="center"/>
    </xf>
    <xf numFmtId="4" fontId="4" fillId="0" borderId="17" xfId="0" applyNumberFormat="1" applyFont="1" applyFill="1" applyBorder="1" applyAlignment="1">
      <alignment horizontal="center" vertical="center"/>
    </xf>
    <xf numFmtId="4" fontId="4" fillId="0" borderId="9" xfId="0" applyNumberFormat="1" applyFont="1" applyFill="1" applyBorder="1" applyAlignment="1">
      <alignment horizontal="center" vertical="center"/>
    </xf>
    <xf numFmtId="4" fontId="4" fillId="0" borderId="7" xfId="0" applyNumberFormat="1" applyFont="1" applyFill="1" applyBorder="1" applyAlignment="1">
      <alignment horizontal="center" vertical="center"/>
    </xf>
    <xf numFmtId="4" fontId="3" fillId="0" borderId="12" xfId="4" applyNumberFormat="1" applyFont="1" applyFill="1" applyBorder="1" applyAlignment="1" applyProtection="1">
      <alignment horizontal="center" vertical="center"/>
    </xf>
    <xf numFmtId="4" fontId="4" fillId="0" borderId="3" xfId="4" applyNumberFormat="1" applyFont="1" applyFill="1" applyBorder="1" applyAlignment="1" applyProtection="1">
      <alignment horizontal="center" vertical="center"/>
    </xf>
    <xf numFmtId="4" fontId="3" fillId="0" borderId="13" xfId="4" applyNumberFormat="1" applyFont="1" applyFill="1" applyBorder="1" applyAlignment="1" applyProtection="1">
      <alignment horizontal="center" vertical="center"/>
    </xf>
    <xf numFmtId="4" fontId="4" fillId="0" borderId="7" xfId="4" applyNumberFormat="1" applyFont="1" applyFill="1" applyBorder="1" applyAlignment="1" applyProtection="1">
      <alignment horizontal="center" vertical="center"/>
    </xf>
    <xf numFmtId="4" fontId="3" fillId="0" borderId="14" xfId="4" applyNumberFormat="1" applyFont="1" applyFill="1" applyBorder="1" applyAlignment="1" applyProtection="1">
      <alignment horizontal="center" vertical="center"/>
    </xf>
    <xf numFmtId="4" fontId="4" fillId="0" borderId="9" xfId="4" applyNumberFormat="1" applyFont="1" applyFill="1" applyBorder="1" applyAlignment="1" applyProtection="1">
      <alignment horizontal="center" vertical="center"/>
    </xf>
    <xf numFmtId="4" fontId="3" fillId="0" borderId="1" xfId="4" applyNumberFormat="1" applyFont="1" applyFill="1" applyBorder="1" applyAlignment="1" applyProtection="1">
      <alignment horizontal="center" vertical="center"/>
    </xf>
    <xf numFmtId="4" fontId="4" fillId="0" borderId="5" xfId="4" applyNumberFormat="1" applyFont="1" applyFill="1" applyBorder="1" applyAlignment="1" applyProtection="1">
      <alignment horizontal="center" vertical="center"/>
    </xf>
    <xf numFmtId="0" fontId="3" fillId="2" borderId="19" xfId="0" applyFont="1" applyFill="1" applyBorder="1" applyAlignment="1">
      <alignment horizontal="center" vertical="center"/>
    </xf>
    <xf numFmtId="44" fontId="3" fillId="0" borderId="50" xfId="53" applyFont="1" applyBorder="1" applyAlignment="1">
      <alignment horizontal="center" vertical="center" wrapText="1"/>
    </xf>
    <xf numFmtId="0" fontId="3" fillId="0" borderId="31" xfId="0" applyFont="1" applyBorder="1" applyAlignment="1">
      <alignment horizontal="center"/>
    </xf>
    <xf numFmtId="44" fontId="3" fillId="0" borderId="50" xfId="0" applyNumberFormat="1" applyFont="1" applyBorder="1" applyAlignment="1">
      <alignment horizontal="center" vertical="center" wrapText="1"/>
    </xf>
    <xf numFmtId="44" fontId="3" fillId="0" borderId="0" xfId="0" applyNumberFormat="1" applyFont="1"/>
    <xf numFmtId="10" fontId="3" fillId="35" borderId="50" xfId="1" applyNumberFormat="1" applyFont="1" applyFill="1" applyBorder="1" applyAlignment="1">
      <alignment horizontal="center" vertical="center" wrapText="1"/>
    </xf>
    <xf numFmtId="168" fontId="34" fillId="0" borderId="3" xfId="0" applyNumberFormat="1" applyFont="1" applyBorder="1" applyAlignment="1">
      <alignment vertical="center"/>
    </xf>
    <xf numFmtId="168" fontId="34" fillId="0" borderId="5" xfId="0" applyNumberFormat="1" applyFont="1" applyBorder="1" applyAlignment="1">
      <alignment vertical="center"/>
    </xf>
    <xf numFmtId="168" fontId="34" fillId="0" borderId="9" xfId="0" applyNumberFormat="1" applyFont="1" applyBorder="1" applyAlignment="1">
      <alignment horizontal="center" vertical="center" wrapText="1"/>
    </xf>
    <xf numFmtId="168" fontId="34" fillId="0" borderId="5" xfId="0" applyNumberFormat="1" applyFont="1" applyBorder="1" applyAlignment="1">
      <alignment horizontal="center" vertical="center" wrapText="1"/>
    </xf>
    <xf numFmtId="0" fontId="21" fillId="42" borderId="55" xfId="0" applyFont="1" applyFill="1" applyBorder="1" applyAlignment="1">
      <alignment horizontal="center"/>
    </xf>
    <xf numFmtId="0" fontId="21" fillId="42" borderId="56" xfId="0" applyFont="1" applyFill="1" applyBorder="1" applyAlignment="1">
      <alignment horizontal="center"/>
    </xf>
    <xf numFmtId="0" fontId="21" fillId="42" borderId="57" xfId="0" applyFont="1" applyFill="1" applyBorder="1" applyAlignment="1">
      <alignment horizontal="center"/>
    </xf>
  </cellXfs>
  <cellStyles count="54">
    <cellStyle name="20% - Ênfase1" xfId="24" builtinId="30" customBuiltin="1"/>
    <cellStyle name="20% - Ênfase2" xfId="28" builtinId="34" customBuiltin="1"/>
    <cellStyle name="20% - Ênfase3" xfId="32" builtinId="38" customBuiltin="1"/>
    <cellStyle name="20% - Ênfase4" xfId="36" builtinId="42" customBuiltin="1"/>
    <cellStyle name="20% - Ênfase5" xfId="40" builtinId="46" customBuiltin="1"/>
    <cellStyle name="20% - Ênfase6" xfId="44" builtinId="50" customBuiltin="1"/>
    <cellStyle name="40% - Ênfase1" xfId="25" builtinId="31" customBuiltin="1"/>
    <cellStyle name="40% - Ênfase2" xfId="29" builtinId="35" customBuiltin="1"/>
    <cellStyle name="40% - Ênfase3" xfId="33" builtinId="39" customBuiltin="1"/>
    <cellStyle name="40% - Ênfase4" xfId="37" builtinId="43" customBuiltin="1"/>
    <cellStyle name="40% - Ênfase5" xfId="41" builtinId="47" customBuiltin="1"/>
    <cellStyle name="40% - Ênfase6" xfId="45" builtinId="51" customBuiltin="1"/>
    <cellStyle name="60% - Ênfase1" xfId="26" builtinId="32" customBuiltin="1"/>
    <cellStyle name="60% - Ênfase2" xfId="30" builtinId="36" customBuiltin="1"/>
    <cellStyle name="60% - Ênfase3" xfId="34" builtinId="40" customBuiltin="1"/>
    <cellStyle name="60% - Ênfase4" xfId="38" builtinId="44" customBuiltin="1"/>
    <cellStyle name="60% - Ênfase5" xfId="42" builtinId="48" customBuiltin="1"/>
    <cellStyle name="60% - Ênfase6" xfId="46" builtinId="52" customBuiltin="1"/>
    <cellStyle name="Bom" xfId="11" builtinId="26" customBuiltin="1"/>
    <cellStyle name="Cálculo" xfId="16" builtinId="22" customBuiltin="1"/>
    <cellStyle name="Célula de Verificação" xfId="18" builtinId="23" customBuiltin="1"/>
    <cellStyle name="Célula Vinculada" xfId="17" builtinId="24" customBuiltin="1"/>
    <cellStyle name="Ênfase1" xfId="23" builtinId="29" customBuiltin="1"/>
    <cellStyle name="Ênfase2" xfId="27" builtinId="33" customBuiltin="1"/>
    <cellStyle name="Ênfase3" xfId="31" builtinId="37" customBuiltin="1"/>
    <cellStyle name="Ênfase4" xfId="35" builtinId="41" customBuiltin="1"/>
    <cellStyle name="Ênfase5" xfId="39" builtinId="45" customBuiltin="1"/>
    <cellStyle name="Ênfase6" xfId="43" builtinId="49" customBuiltin="1"/>
    <cellStyle name="Entrada" xfId="14" builtinId="20" customBuiltin="1"/>
    <cellStyle name="Incorreto" xfId="12" builtinId="27" customBuiltin="1"/>
    <cellStyle name="Moeda" xfId="53" builtinId="4"/>
    <cellStyle name="Neutra" xfId="13" builtinId="28" customBuiltin="1"/>
    <cellStyle name="Normal" xfId="0" builtinId="0"/>
    <cellStyle name="Normal 2" xfId="48"/>
    <cellStyle name="Nota" xfId="20" builtinId="10" customBuiltin="1"/>
    <cellStyle name="Porcentagem" xfId="1" builtinId="5"/>
    <cellStyle name="Saída" xfId="15" builtinId="21" customBuiltin="1"/>
    <cellStyle name="Texto de Aviso" xfId="19" builtinId="11" customBuiltin="1"/>
    <cellStyle name="Texto Explicativo" xfId="21" builtinId="53" customBuiltin="1"/>
    <cellStyle name="Título" xfId="6" builtinId="15" customBuiltin="1"/>
    <cellStyle name="Título 1" xfId="7" builtinId="16" customBuiltin="1"/>
    <cellStyle name="Título 2" xfId="8" builtinId="17" customBuiltin="1"/>
    <cellStyle name="Título 3" xfId="9" builtinId="18" customBuiltin="1"/>
    <cellStyle name="Título 4" xfId="10" builtinId="19" customBuiltin="1"/>
    <cellStyle name="Total" xfId="22" builtinId="25" customBuiltin="1"/>
    <cellStyle name="Vírgula" xfId="2" builtinId="3"/>
    <cellStyle name="Vírgula 2" xfId="3"/>
    <cellStyle name="Vírgula 3" xfId="5"/>
    <cellStyle name="Vírgula 3 2" xfId="51"/>
    <cellStyle name="Vírgula 4" xfId="4"/>
    <cellStyle name="Vírgula 4 2" xfId="50"/>
    <cellStyle name="Vírgula 5" xfId="47"/>
    <cellStyle name="Vírgula 5 2" xfId="52"/>
    <cellStyle name="Vírgula 6" xfId="49"/>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38"/>
  <sheetViews>
    <sheetView showGridLines="0" topLeftCell="A7" zoomScale="85" zoomScaleNormal="85" workbookViewId="0">
      <selection activeCell="E20" sqref="E20"/>
    </sheetView>
  </sheetViews>
  <sheetFormatPr defaultRowHeight="15.75" x14ac:dyDescent="0.25"/>
  <cols>
    <col min="1" max="1" width="9.140625" style="167"/>
    <col min="2" max="2" width="72.140625" style="167" customWidth="1"/>
    <col min="3" max="3" width="18" style="167" customWidth="1"/>
    <col min="4" max="4" width="14.28515625" style="167" customWidth="1"/>
    <col min="5" max="5" width="14.85546875" style="167" customWidth="1"/>
    <col min="6" max="6" width="12" style="167" customWidth="1"/>
    <col min="7" max="7" width="15.140625" style="167" customWidth="1"/>
    <col min="8" max="16384" width="9.140625" style="167"/>
  </cols>
  <sheetData>
    <row r="1" spans="1:4" ht="23.25" x14ac:dyDescent="0.35">
      <c r="A1" s="199" t="s">
        <v>235</v>
      </c>
      <c r="B1" s="199"/>
      <c r="C1" s="199"/>
      <c r="D1" s="199"/>
    </row>
    <row r="2" spans="1:4" ht="23.25" x14ac:dyDescent="0.35">
      <c r="A2" s="199" t="s">
        <v>237</v>
      </c>
      <c r="B2" s="199"/>
      <c r="C2" s="199"/>
      <c r="D2" s="199"/>
    </row>
    <row r="3" spans="1:4" x14ac:dyDescent="0.25">
      <c r="A3" s="227" t="s">
        <v>244</v>
      </c>
      <c r="B3" s="227"/>
      <c r="C3" s="227"/>
      <c r="D3" s="227"/>
    </row>
    <row r="6" spans="1:4" x14ac:dyDescent="0.25">
      <c r="A6" s="226" t="s">
        <v>164</v>
      </c>
      <c r="B6" s="226"/>
      <c r="C6" s="226"/>
    </row>
    <row r="7" spans="1:4" ht="16.5" thickBot="1" x14ac:dyDescent="0.3"/>
    <row r="8" spans="1:4" ht="16.5" thickBot="1" x14ac:dyDescent="0.3">
      <c r="A8" s="158">
        <v>1</v>
      </c>
      <c r="B8" s="159" t="s">
        <v>165</v>
      </c>
      <c r="C8" s="159" t="s">
        <v>166</v>
      </c>
    </row>
    <row r="9" spans="1:4" ht="16.5" thickBot="1" x14ac:dyDescent="0.3">
      <c r="A9" s="160" t="s">
        <v>167</v>
      </c>
      <c r="B9" s="161" t="s">
        <v>168</v>
      </c>
      <c r="C9" s="386">
        <f>'Custo por trabalhador'!$B$12</f>
        <v>0</v>
      </c>
    </row>
    <row r="10" spans="1:4" ht="16.5" thickBot="1" x14ac:dyDescent="0.3">
      <c r="A10" s="160" t="s">
        <v>169</v>
      </c>
      <c r="B10" s="161" t="s">
        <v>170</v>
      </c>
      <c r="C10" s="162"/>
    </row>
    <row r="11" spans="1:4" ht="16.5" thickBot="1" x14ac:dyDescent="0.3">
      <c r="A11" s="160" t="s">
        <v>171</v>
      </c>
      <c r="B11" s="161" t="s">
        <v>172</v>
      </c>
      <c r="C11" s="162"/>
    </row>
    <row r="12" spans="1:4" ht="16.5" thickBot="1" x14ac:dyDescent="0.3">
      <c r="A12" s="160" t="s">
        <v>173</v>
      </c>
      <c r="B12" s="161" t="s">
        <v>11</v>
      </c>
      <c r="C12" s="162"/>
    </row>
    <row r="13" spans="1:4" ht="16.5" thickBot="1" x14ac:dyDescent="0.3">
      <c r="A13" s="160" t="s">
        <v>174</v>
      </c>
      <c r="B13" s="161" t="s">
        <v>175</v>
      </c>
      <c r="C13" s="162"/>
    </row>
    <row r="14" spans="1:4" ht="16.5" thickBot="1" x14ac:dyDescent="0.3">
      <c r="A14" s="160"/>
      <c r="B14" s="161"/>
      <c r="C14" s="162"/>
    </row>
    <row r="15" spans="1:4" ht="16.5" thickBot="1" x14ac:dyDescent="0.3">
      <c r="A15" s="160" t="s">
        <v>177</v>
      </c>
      <c r="B15" s="161" t="s">
        <v>178</v>
      </c>
      <c r="C15" s="162"/>
    </row>
    <row r="16" spans="1:4" ht="16.5" thickBot="1" x14ac:dyDescent="0.3">
      <c r="A16" s="222" t="s">
        <v>16</v>
      </c>
      <c r="B16" s="223"/>
      <c r="C16" s="386">
        <f>C9</f>
        <v>0</v>
      </c>
    </row>
    <row r="19" spans="1:5" x14ac:dyDescent="0.25">
      <c r="A19" s="224" t="s">
        <v>179</v>
      </c>
      <c r="B19" s="224"/>
      <c r="C19" s="224"/>
    </row>
    <row r="20" spans="1:5" x14ac:dyDescent="0.25">
      <c r="A20" s="157"/>
    </row>
    <row r="21" spans="1:5" x14ac:dyDescent="0.25">
      <c r="A21" s="225" t="s">
        <v>180</v>
      </c>
      <c r="B21" s="225"/>
      <c r="C21" s="225"/>
    </row>
    <row r="22" spans="1:5" ht="16.5" thickBot="1" x14ac:dyDescent="0.3"/>
    <row r="23" spans="1:5" ht="16.5" thickBot="1" x14ac:dyDescent="0.3">
      <c r="A23" s="158" t="s">
        <v>181</v>
      </c>
      <c r="B23" s="159" t="s">
        <v>182</v>
      </c>
      <c r="C23" s="159" t="s">
        <v>166</v>
      </c>
    </row>
    <row r="24" spans="1:5" ht="16.5" thickBot="1" x14ac:dyDescent="0.3">
      <c r="A24" s="387" t="s">
        <v>167</v>
      </c>
      <c r="B24" s="161" t="s">
        <v>183</v>
      </c>
      <c r="C24" s="386">
        <f>'Custo por trabalhador'!B94</f>
        <v>0</v>
      </c>
    </row>
    <row r="25" spans="1:5" ht="16.5" thickBot="1" x14ac:dyDescent="0.3">
      <c r="A25" s="160" t="s">
        <v>169</v>
      </c>
      <c r="B25" s="161" t="s">
        <v>19</v>
      </c>
      <c r="C25" s="386">
        <f>'Custo por trabalhador'!D94</f>
        <v>0</v>
      </c>
    </row>
    <row r="26" spans="1:5" ht="16.5" thickBot="1" x14ac:dyDescent="0.3">
      <c r="A26" s="160" t="s">
        <v>171</v>
      </c>
      <c r="B26" s="161" t="s">
        <v>124</v>
      </c>
      <c r="C26" s="386">
        <f>'Custo por trabalhador'!C94</f>
        <v>0</v>
      </c>
    </row>
    <row r="27" spans="1:5" ht="16.5" thickBot="1" x14ac:dyDescent="0.3">
      <c r="A27" s="222" t="s">
        <v>16</v>
      </c>
      <c r="B27" s="223"/>
      <c r="C27" s="386">
        <f>SUM(C24:C26)</f>
        <v>0</v>
      </c>
    </row>
    <row r="29" spans="1:5" x14ac:dyDescent="0.25">
      <c r="E29" s="389"/>
    </row>
    <row r="30" spans="1:5" ht="32.25" customHeight="1" x14ac:dyDescent="0.25">
      <c r="A30" s="228" t="s">
        <v>184</v>
      </c>
      <c r="B30" s="228"/>
      <c r="C30" s="228"/>
      <c r="D30" s="228"/>
    </row>
    <row r="31" spans="1:5" ht="16.5" thickBot="1" x14ac:dyDescent="0.3"/>
    <row r="32" spans="1:5" ht="16.5" thickBot="1" x14ac:dyDescent="0.3">
      <c r="A32" s="158" t="s">
        <v>185</v>
      </c>
      <c r="B32" s="159" t="s">
        <v>186</v>
      </c>
      <c r="C32" s="159" t="s">
        <v>187</v>
      </c>
      <c r="D32" s="159" t="s">
        <v>166</v>
      </c>
    </row>
    <row r="33" spans="1:4" ht="16.5" thickBot="1" x14ac:dyDescent="0.3">
      <c r="A33" s="160" t="s">
        <v>167</v>
      </c>
      <c r="B33" s="161" t="s">
        <v>188</v>
      </c>
      <c r="C33" s="163">
        <v>0.2</v>
      </c>
      <c r="D33" s="388">
        <f>C33*1329.41666666667</f>
        <v>265.88333333333401</v>
      </c>
    </row>
    <row r="34" spans="1:4" ht="16.5" thickBot="1" x14ac:dyDescent="0.3">
      <c r="A34" s="160" t="s">
        <v>169</v>
      </c>
      <c r="B34" s="161" t="s">
        <v>189</v>
      </c>
      <c r="C34" s="163">
        <v>2.5000000000000001E-2</v>
      </c>
      <c r="D34" s="388">
        <f t="shared" ref="D34:D40" si="0">C34*1329.41666666667</f>
        <v>33.235416666666751</v>
      </c>
    </row>
    <row r="35" spans="1:4" ht="16.5" thickBot="1" x14ac:dyDescent="0.3">
      <c r="A35" s="160" t="s">
        <v>171</v>
      </c>
      <c r="B35" s="161" t="s">
        <v>190</v>
      </c>
      <c r="C35" s="390">
        <f>'Custo por trabalhador'!B104</f>
        <v>0.03</v>
      </c>
      <c r="D35" s="388">
        <f t="shared" si="0"/>
        <v>39.8825000000001</v>
      </c>
    </row>
    <row r="36" spans="1:4" ht="16.5" thickBot="1" x14ac:dyDescent="0.3">
      <c r="A36" s="160" t="s">
        <v>173</v>
      </c>
      <c r="B36" s="161" t="s">
        <v>191</v>
      </c>
      <c r="C36" s="163">
        <v>1.4999999999999999E-2</v>
      </c>
      <c r="D36" s="388">
        <f t="shared" si="0"/>
        <v>19.94125000000005</v>
      </c>
    </row>
    <row r="37" spans="1:4" ht="16.5" thickBot="1" x14ac:dyDescent="0.3">
      <c r="A37" s="160" t="s">
        <v>174</v>
      </c>
      <c r="B37" s="161" t="s">
        <v>192</v>
      </c>
      <c r="C37" s="163">
        <v>0.01</v>
      </c>
      <c r="D37" s="388">
        <f t="shared" si="0"/>
        <v>13.294166666666699</v>
      </c>
    </row>
    <row r="38" spans="1:4" ht="16.5" thickBot="1" x14ac:dyDescent="0.3">
      <c r="A38" s="160" t="s">
        <v>176</v>
      </c>
      <c r="B38" s="161" t="s">
        <v>29</v>
      </c>
      <c r="C38" s="163">
        <v>6.0000000000000001E-3</v>
      </c>
      <c r="D38" s="388">
        <f t="shared" si="0"/>
        <v>7.9765000000000201</v>
      </c>
    </row>
    <row r="39" spans="1:4" ht="16.5" thickBot="1" x14ac:dyDescent="0.3">
      <c r="A39" s="160" t="s">
        <v>177</v>
      </c>
      <c r="B39" s="161" t="s">
        <v>30</v>
      </c>
      <c r="C39" s="163">
        <v>2E-3</v>
      </c>
      <c r="D39" s="388">
        <f t="shared" si="0"/>
        <v>2.65883333333334</v>
      </c>
    </row>
    <row r="40" spans="1:4" ht="16.5" thickBot="1" x14ac:dyDescent="0.3">
      <c r="A40" s="160" t="s">
        <v>193</v>
      </c>
      <c r="B40" s="161" t="s">
        <v>31</v>
      </c>
      <c r="C40" s="163">
        <v>0.08</v>
      </c>
      <c r="D40" s="388">
        <f t="shared" si="0"/>
        <v>106.35333333333359</v>
      </c>
    </row>
    <row r="41" spans="1:4" ht="16.5" thickBot="1" x14ac:dyDescent="0.3">
      <c r="A41" s="222" t="s">
        <v>194</v>
      </c>
      <c r="B41" s="223"/>
      <c r="C41" s="162"/>
      <c r="D41" s="388">
        <f>SUM(D33:D40)</f>
        <v>489.22533333333456</v>
      </c>
    </row>
    <row r="44" spans="1:4" x14ac:dyDescent="0.25">
      <c r="A44" s="225" t="s">
        <v>195</v>
      </c>
      <c r="B44" s="225"/>
      <c r="C44" s="225"/>
    </row>
    <row r="45" spans="1:4" ht="16.5" thickBot="1" x14ac:dyDescent="0.3"/>
    <row r="46" spans="1:4" ht="16.5" thickBot="1" x14ac:dyDescent="0.3">
      <c r="A46" s="158" t="s">
        <v>196</v>
      </c>
      <c r="B46" s="159" t="s">
        <v>197</v>
      </c>
      <c r="C46" s="159" t="s">
        <v>166</v>
      </c>
    </row>
    <row r="47" spans="1:4" ht="16.5" thickBot="1" x14ac:dyDescent="0.3">
      <c r="A47" s="160" t="s">
        <v>167</v>
      </c>
      <c r="B47" s="161" t="s">
        <v>198</v>
      </c>
      <c r="C47" s="386">
        <f>'Custo por trabalhador'!B183</f>
        <v>114</v>
      </c>
    </row>
    <row r="48" spans="1:4" ht="16.5" thickBot="1" x14ac:dyDescent="0.3">
      <c r="A48" s="160" t="s">
        <v>169</v>
      </c>
      <c r="B48" s="161" t="s">
        <v>199</v>
      </c>
      <c r="C48" s="386">
        <f>'Custo por trabalhador'!C183</f>
        <v>210</v>
      </c>
    </row>
    <row r="49" spans="1:3" ht="16.5" thickBot="1" x14ac:dyDescent="0.3">
      <c r="A49" s="160" t="s">
        <v>171</v>
      </c>
      <c r="B49" s="161" t="s">
        <v>346</v>
      </c>
      <c r="C49" s="386">
        <f>'Custo por trabalhador'!D183</f>
        <v>85</v>
      </c>
    </row>
    <row r="50" spans="1:3" ht="16.5" thickBot="1" x14ac:dyDescent="0.3">
      <c r="A50" s="160"/>
      <c r="B50" s="161" t="s">
        <v>347</v>
      </c>
      <c r="C50" s="386">
        <f>'Custo por trabalhador'!E183</f>
        <v>10</v>
      </c>
    </row>
    <row r="51" spans="1:3" ht="16.5" thickBot="1" x14ac:dyDescent="0.3">
      <c r="A51" s="160" t="s">
        <v>173</v>
      </c>
      <c r="B51" s="161" t="s">
        <v>348</v>
      </c>
      <c r="C51" s="386">
        <f>'Custo por trabalhador'!F183</f>
        <v>10</v>
      </c>
    </row>
    <row r="52" spans="1:3" ht="16.5" thickBot="1" x14ac:dyDescent="0.3">
      <c r="A52" s="222" t="s">
        <v>16</v>
      </c>
      <c r="B52" s="223"/>
      <c r="C52" s="386">
        <f>SUM(C47:C51)</f>
        <v>429</v>
      </c>
    </row>
    <row r="55" spans="1:3" x14ac:dyDescent="0.25">
      <c r="A55" s="225" t="s">
        <v>200</v>
      </c>
      <c r="B55" s="225"/>
      <c r="C55" s="225"/>
    </row>
    <row r="56" spans="1:3" ht="16.5" thickBot="1" x14ac:dyDescent="0.3"/>
    <row r="57" spans="1:3" ht="16.5" thickBot="1" x14ac:dyDescent="0.3">
      <c r="A57" s="158">
        <v>2</v>
      </c>
      <c r="B57" s="159" t="s">
        <v>201</v>
      </c>
      <c r="C57" s="159" t="s">
        <v>166</v>
      </c>
    </row>
    <row r="58" spans="1:3" ht="16.5" thickBot="1" x14ac:dyDescent="0.3">
      <c r="A58" s="160" t="s">
        <v>181</v>
      </c>
      <c r="B58" s="161" t="s">
        <v>182</v>
      </c>
      <c r="C58" s="388">
        <f>C27</f>
        <v>0</v>
      </c>
    </row>
    <row r="59" spans="1:3" ht="16.5" thickBot="1" x14ac:dyDescent="0.3">
      <c r="A59" s="160" t="s">
        <v>185</v>
      </c>
      <c r="B59" s="161" t="s">
        <v>186</v>
      </c>
      <c r="C59" s="388">
        <f>D41</f>
        <v>489.22533333333456</v>
      </c>
    </row>
    <row r="60" spans="1:3" ht="16.5" thickBot="1" x14ac:dyDescent="0.3">
      <c r="A60" s="160" t="s">
        <v>196</v>
      </c>
      <c r="B60" s="161" t="s">
        <v>197</v>
      </c>
      <c r="C60" s="388">
        <f>C52</f>
        <v>429</v>
      </c>
    </row>
    <row r="61" spans="1:3" ht="16.5" thickBot="1" x14ac:dyDescent="0.3">
      <c r="A61" s="222" t="s">
        <v>16</v>
      </c>
      <c r="B61" s="223"/>
      <c r="C61" s="388">
        <f>SUM(C58:C60)</f>
        <v>918.22533333333456</v>
      </c>
    </row>
    <row r="62" spans="1:3" x14ac:dyDescent="0.25">
      <c r="A62" s="23"/>
    </row>
    <row r="64" spans="1:3" x14ac:dyDescent="0.25">
      <c r="A64" s="224" t="s">
        <v>202</v>
      </c>
      <c r="B64" s="224"/>
      <c r="C64" s="224"/>
    </row>
    <row r="65" spans="1:3" ht="16.5" thickBot="1" x14ac:dyDescent="0.3"/>
    <row r="66" spans="1:3" ht="16.5" thickBot="1" x14ac:dyDescent="0.3">
      <c r="A66" s="158">
        <v>3</v>
      </c>
      <c r="B66" s="159" t="s">
        <v>203</v>
      </c>
      <c r="C66" s="159" t="s">
        <v>166</v>
      </c>
    </row>
    <row r="67" spans="1:3" ht="16.5" thickBot="1" x14ac:dyDescent="0.3">
      <c r="A67" s="160" t="s">
        <v>167</v>
      </c>
      <c r="B67" s="165" t="s">
        <v>204</v>
      </c>
      <c r="C67" s="162"/>
    </row>
    <row r="68" spans="1:3" ht="16.5" thickBot="1" x14ac:dyDescent="0.3">
      <c r="A68" s="160" t="s">
        <v>169</v>
      </c>
      <c r="B68" s="165" t="s">
        <v>205</v>
      </c>
      <c r="C68" s="162"/>
    </row>
    <row r="69" spans="1:3" ht="16.5" thickBot="1" x14ac:dyDescent="0.3">
      <c r="A69" s="160" t="s">
        <v>171</v>
      </c>
      <c r="B69" s="165" t="s">
        <v>206</v>
      </c>
      <c r="C69" s="162"/>
    </row>
    <row r="70" spans="1:3" ht="16.5" thickBot="1" x14ac:dyDescent="0.3">
      <c r="A70" s="160" t="s">
        <v>173</v>
      </c>
      <c r="B70" s="165" t="s">
        <v>207</v>
      </c>
      <c r="C70" s="162"/>
    </row>
    <row r="71" spans="1:3" ht="39" customHeight="1" thickBot="1" x14ac:dyDescent="0.3">
      <c r="A71" s="160" t="s">
        <v>174</v>
      </c>
      <c r="B71" s="165" t="s">
        <v>208</v>
      </c>
      <c r="C71" s="162"/>
    </row>
    <row r="72" spans="1:3" ht="16.5" thickBot="1" x14ac:dyDescent="0.3">
      <c r="A72" s="160" t="s">
        <v>176</v>
      </c>
      <c r="B72" s="165" t="s">
        <v>209</v>
      </c>
      <c r="C72" s="162"/>
    </row>
    <row r="73" spans="1:3" ht="16.5" thickBot="1" x14ac:dyDescent="0.3">
      <c r="A73" s="222" t="s">
        <v>16</v>
      </c>
      <c r="B73" s="223"/>
      <c r="C73" s="162"/>
    </row>
    <row r="76" spans="1:3" x14ac:dyDescent="0.25">
      <c r="A76" s="224" t="s">
        <v>210</v>
      </c>
      <c r="B76" s="224"/>
      <c r="C76" s="224"/>
    </row>
    <row r="79" spans="1:3" x14ac:dyDescent="0.25">
      <c r="A79" s="225" t="s">
        <v>211</v>
      </c>
      <c r="B79" s="225"/>
      <c r="C79" s="225"/>
    </row>
    <row r="80" spans="1:3" ht="16.5" thickBot="1" x14ac:dyDescent="0.3">
      <c r="A80" s="157"/>
    </row>
    <row r="81" spans="1:3" ht="16.5" thickBot="1" x14ac:dyDescent="0.3">
      <c r="A81" s="158" t="s">
        <v>212</v>
      </c>
      <c r="B81" s="159" t="s">
        <v>213</v>
      </c>
      <c r="C81" s="159" t="s">
        <v>166</v>
      </c>
    </row>
    <row r="82" spans="1:3" ht="16.5" thickBot="1" x14ac:dyDescent="0.3">
      <c r="A82" s="160" t="s">
        <v>167</v>
      </c>
      <c r="B82" s="161" t="s">
        <v>20</v>
      </c>
      <c r="C82" s="162"/>
    </row>
    <row r="83" spans="1:3" ht="16.5" thickBot="1" x14ac:dyDescent="0.3">
      <c r="A83" s="160" t="s">
        <v>169</v>
      </c>
      <c r="B83" s="161" t="s">
        <v>213</v>
      </c>
      <c r="C83" s="162"/>
    </row>
    <row r="84" spans="1:3" ht="16.5" thickBot="1" x14ac:dyDescent="0.3">
      <c r="A84" s="160" t="s">
        <v>171</v>
      </c>
      <c r="B84" s="161" t="s">
        <v>214</v>
      </c>
      <c r="C84" s="162"/>
    </row>
    <row r="85" spans="1:3" ht="16.5" thickBot="1" x14ac:dyDescent="0.3">
      <c r="A85" s="160" t="s">
        <v>173</v>
      </c>
      <c r="B85" s="161" t="s">
        <v>215</v>
      </c>
      <c r="C85" s="162"/>
    </row>
    <row r="86" spans="1:3" ht="16.5" thickBot="1" x14ac:dyDescent="0.3">
      <c r="A86" s="160" t="s">
        <v>174</v>
      </c>
      <c r="B86" s="161" t="s">
        <v>216</v>
      </c>
      <c r="C86" s="162"/>
    </row>
    <row r="87" spans="1:3" ht="16.5" thickBot="1" x14ac:dyDescent="0.3">
      <c r="A87" s="160" t="s">
        <v>176</v>
      </c>
      <c r="B87" s="161" t="s">
        <v>178</v>
      </c>
      <c r="C87" s="162"/>
    </row>
    <row r="88" spans="1:3" ht="16.5" thickBot="1" x14ac:dyDescent="0.3">
      <c r="A88" s="222" t="s">
        <v>194</v>
      </c>
      <c r="B88" s="223"/>
      <c r="C88" s="162"/>
    </row>
    <row r="91" spans="1:3" x14ac:dyDescent="0.25">
      <c r="A91" s="225" t="s">
        <v>217</v>
      </c>
      <c r="B91" s="225"/>
      <c r="C91" s="225"/>
    </row>
    <row r="92" spans="1:3" ht="16.5" thickBot="1" x14ac:dyDescent="0.3">
      <c r="A92" s="157"/>
    </row>
    <row r="93" spans="1:3" ht="16.5" thickBot="1" x14ac:dyDescent="0.3">
      <c r="A93" s="158" t="s">
        <v>218</v>
      </c>
      <c r="B93" s="159" t="s">
        <v>219</v>
      </c>
      <c r="C93" s="159" t="s">
        <v>166</v>
      </c>
    </row>
    <row r="94" spans="1:3" ht="16.5" thickBot="1" x14ac:dyDescent="0.3">
      <c r="A94" s="160" t="s">
        <v>167</v>
      </c>
      <c r="B94" s="161" t="s">
        <v>245</v>
      </c>
      <c r="C94" s="162"/>
    </row>
    <row r="95" spans="1:3" ht="16.5" thickBot="1" x14ac:dyDescent="0.3">
      <c r="A95" s="222" t="s">
        <v>16</v>
      </c>
      <c r="B95" s="223"/>
      <c r="C95" s="162"/>
    </row>
    <row r="98" spans="1:3" x14ac:dyDescent="0.25">
      <c r="A98" s="225" t="s">
        <v>220</v>
      </c>
      <c r="B98" s="225"/>
      <c r="C98" s="225"/>
    </row>
    <row r="99" spans="1:3" ht="16.5" thickBot="1" x14ac:dyDescent="0.3">
      <c r="A99" s="157"/>
    </row>
    <row r="100" spans="1:3" ht="16.5" thickBot="1" x14ac:dyDescent="0.3">
      <c r="A100" s="158">
        <v>4</v>
      </c>
      <c r="B100" s="159" t="s">
        <v>221</v>
      </c>
      <c r="C100" s="159" t="s">
        <v>166</v>
      </c>
    </row>
    <row r="101" spans="1:3" ht="16.5" thickBot="1" x14ac:dyDescent="0.3">
      <c r="A101" s="160" t="s">
        <v>212</v>
      </c>
      <c r="B101" s="161" t="s">
        <v>213</v>
      </c>
      <c r="C101" s="162"/>
    </row>
    <row r="102" spans="1:3" ht="16.5" thickBot="1" x14ac:dyDescent="0.3">
      <c r="A102" s="160" t="s">
        <v>218</v>
      </c>
      <c r="B102" s="161" t="s">
        <v>219</v>
      </c>
      <c r="C102" s="162"/>
    </row>
    <row r="103" spans="1:3" ht="16.5" thickBot="1" x14ac:dyDescent="0.3">
      <c r="A103" s="222" t="s">
        <v>16</v>
      </c>
      <c r="B103" s="223"/>
      <c r="C103" s="162"/>
    </row>
    <row r="106" spans="1:3" x14ac:dyDescent="0.25">
      <c r="A106" s="224" t="s">
        <v>222</v>
      </c>
      <c r="B106" s="224"/>
      <c r="C106" s="224"/>
    </row>
    <row r="107" spans="1:3" ht="16.5" thickBot="1" x14ac:dyDescent="0.3"/>
    <row r="108" spans="1:3" ht="16.5" thickBot="1" x14ac:dyDescent="0.3">
      <c r="A108" s="158">
        <v>5</v>
      </c>
      <c r="B108" s="166" t="s">
        <v>120</v>
      </c>
      <c r="C108" s="159" t="s">
        <v>166</v>
      </c>
    </row>
    <row r="109" spans="1:3" ht="16.5" thickBot="1" x14ac:dyDescent="0.3">
      <c r="A109" s="160" t="s">
        <v>167</v>
      </c>
      <c r="B109" s="161" t="s">
        <v>223</v>
      </c>
      <c r="C109" s="162"/>
    </row>
    <row r="110" spans="1:3" ht="16.5" thickBot="1" x14ac:dyDescent="0.3">
      <c r="A110" s="160" t="s">
        <v>169</v>
      </c>
      <c r="B110" s="161" t="s">
        <v>224</v>
      </c>
      <c r="C110" s="162"/>
    </row>
    <row r="111" spans="1:3" ht="16.5" thickBot="1" x14ac:dyDescent="0.3">
      <c r="A111" s="160" t="s">
        <v>171</v>
      </c>
      <c r="B111" s="161" t="s">
        <v>225</v>
      </c>
      <c r="C111" s="162"/>
    </row>
    <row r="112" spans="1:3" ht="16.5" thickBot="1" x14ac:dyDescent="0.3">
      <c r="A112" s="160" t="s">
        <v>173</v>
      </c>
      <c r="B112" s="161" t="s">
        <v>178</v>
      </c>
      <c r="C112" s="162"/>
    </row>
    <row r="113" spans="1:4" ht="16.5" thickBot="1" x14ac:dyDescent="0.3">
      <c r="A113" s="222" t="s">
        <v>194</v>
      </c>
      <c r="B113" s="223"/>
      <c r="C113" s="162"/>
    </row>
    <row r="116" spans="1:4" x14ac:dyDescent="0.25">
      <c r="A116" s="224" t="s">
        <v>226</v>
      </c>
      <c r="B116" s="224"/>
      <c r="C116" s="224"/>
    </row>
    <row r="117" spans="1:4" ht="16.5" thickBot="1" x14ac:dyDescent="0.3"/>
    <row r="118" spans="1:4" ht="16.5" thickBot="1" x14ac:dyDescent="0.3">
      <c r="A118" s="158">
        <v>6</v>
      </c>
      <c r="B118" s="166" t="s">
        <v>121</v>
      </c>
      <c r="C118" s="159" t="s">
        <v>187</v>
      </c>
      <c r="D118" s="159" t="s">
        <v>166</v>
      </c>
    </row>
    <row r="119" spans="1:4" ht="16.5" thickBot="1" x14ac:dyDescent="0.3">
      <c r="A119" s="160" t="s">
        <v>167</v>
      </c>
      <c r="B119" s="161" t="s">
        <v>148</v>
      </c>
      <c r="C119" s="162"/>
      <c r="D119" s="162"/>
    </row>
    <row r="120" spans="1:4" ht="16.5" thickBot="1" x14ac:dyDescent="0.3">
      <c r="A120" s="160" t="s">
        <v>169</v>
      </c>
      <c r="B120" s="161" t="s">
        <v>150</v>
      </c>
      <c r="C120" s="162"/>
      <c r="D120" s="162"/>
    </row>
    <row r="121" spans="1:4" ht="16.5" thickBot="1" x14ac:dyDescent="0.3">
      <c r="A121" s="160" t="s">
        <v>171</v>
      </c>
      <c r="B121" s="161" t="s">
        <v>149</v>
      </c>
      <c r="C121" s="162"/>
      <c r="D121" s="162"/>
    </row>
    <row r="122" spans="1:4" ht="16.5" thickBot="1" x14ac:dyDescent="0.3">
      <c r="A122" s="160"/>
      <c r="B122" s="161" t="s">
        <v>227</v>
      </c>
      <c r="C122" s="162"/>
      <c r="D122" s="162"/>
    </row>
    <row r="123" spans="1:4" ht="16.5" thickBot="1" x14ac:dyDescent="0.3">
      <c r="A123" s="160"/>
      <c r="B123" s="161" t="s">
        <v>228</v>
      </c>
      <c r="C123" s="162"/>
      <c r="D123" s="162"/>
    </row>
    <row r="124" spans="1:4" ht="16.5" thickBot="1" x14ac:dyDescent="0.3">
      <c r="A124" s="160"/>
      <c r="B124" s="161" t="s">
        <v>229</v>
      </c>
      <c r="C124" s="162"/>
      <c r="D124" s="162"/>
    </row>
    <row r="125" spans="1:4" ht="16.5" thickBot="1" x14ac:dyDescent="0.3">
      <c r="A125" s="222" t="s">
        <v>194</v>
      </c>
      <c r="B125" s="223"/>
      <c r="C125" s="162"/>
      <c r="D125" s="162"/>
    </row>
    <row r="128" spans="1:4" x14ac:dyDescent="0.25">
      <c r="A128" s="224" t="s">
        <v>230</v>
      </c>
      <c r="B128" s="224"/>
      <c r="C128" s="224"/>
    </row>
    <row r="129" spans="1:3" ht="16.5" thickBot="1" x14ac:dyDescent="0.3"/>
    <row r="130" spans="1:3" ht="16.5" thickBot="1" x14ac:dyDescent="0.3">
      <c r="A130" s="158"/>
      <c r="B130" s="159" t="s">
        <v>231</v>
      </c>
      <c r="C130" s="159" t="s">
        <v>166</v>
      </c>
    </row>
    <row r="131" spans="1:3" ht="16.5" thickBot="1" x14ac:dyDescent="0.3">
      <c r="A131" s="168" t="s">
        <v>167</v>
      </c>
      <c r="B131" s="161" t="s">
        <v>164</v>
      </c>
      <c r="C131" s="161"/>
    </row>
    <row r="132" spans="1:3" ht="16.5" thickBot="1" x14ac:dyDescent="0.3">
      <c r="A132" s="168" t="s">
        <v>169</v>
      </c>
      <c r="B132" s="161" t="s">
        <v>179</v>
      </c>
      <c r="C132" s="161"/>
    </row>
    <row r="133" spans="1:3" ht="16.5" thickBot="1" x14ac:dyDescent="0.3">
      <c r="A133" s="168" t="s">
        <v>171</v>
      </c>
      <c r="B133" s="161" t="s">
        <v>202</v>
      </c>
      <c r="C133" s="161"/>
    </row>
    <row r="134" spans="1:3" ht="16.5" thickBot="1" x14ac:dyDescent="0.3">
      <c r="A134" s="168" t="s">
        <v>173</v>
      </c>
      <c r="B134" s="161" t="s">
        <v>210</v>
      </c>
      <c r="C134" s="161"/>
    </row>
    <row r="135" spans="1:3" ht="16.5" thickBot="1" x14ac:dyDescent="0.3">
      <c r="A135" s="168" t="s">
        <v>174</v>
      </c>
      <c r="B135" s="161" t="s">
        <v>222</v>
      </c>
      <c r="C135" s="161"/>
    </row>
    <row r="136" spans="1:3" ht="16.5" thickBot="1" x14ac:dyDescent="0.3">
      <c r="A136" s="222" t="s">
        <v>232</v>
      </c>
      <c r="B136" s="223"/>
      <c r="C136" s="161"/>
    </row>
    <row r="137" spans="1:3" ht="16.5" thickBot="1" x14ac:dyDescent="0.3">
      <c r="A137" s="168" t="s">
        <v>176</v>
      </c>
      <c r="B137" s="161" t="s">
        <v>233</v>
      </c>
      <c r="C137" s="161"/>
    </row>
    <row r="138" spans="1:3" ht="16.5" thickBot="1" x14ac:dyDescent="0.3">
      <c r="A138" s="222" t="s">
        <v>234</v>
      </c>
      <c r="B138" s="223"/>
      <c r="C138" s="161"/>
    </row>
  </sheetData>
  <mergeCells count="30">
    <mergeCell ref="A3:D3"/>
    <mergeCell ref="A21:C21"/>
    <mergeCell ref="A41:B41"/>
    <mergeCell ref="A30:D30"/>
    <mergeCell ref="A136:B136"/>
    <mergeCell ref="A138:B138"/>
    <mergeCell ref="A128:C128"/>
    <mergeCell ref="A76:C76"/>
    <mergeCell ref="A88:B88"/>
    <mergeCell ref="A79:C79"/>
    <mergeCell ref="A95:B95"/>
    <mergeCell ref="A91:C91"/>
    <mergeCell ref="A103:B103"/>
    <mergeCell ref="A98:C98"/>
    <mergeCell ref="A1:D1"/>
    <mergeCell ref="A2:D2"/>
    <mergeCell ref="A113:B113"/>
    <mergeCell ref="A106:C106"/>
    <mergeCell ref="A125:B125"/>
    <mergeCell ref="A116:C116"/>
    <mergeCell ref="A52:B52"/>
    <mergeCell ref="A44:C44"/>
    <mergeCell ref="A61:B61"/>
    <mergeCell ref="A55:C55"/>
    <mergeCell ref="A73:B73"/>
    <mergeCell ref="A64:C64"/>
    <mergeCell ref="A16:B16"/>
    <mergeCell ref="A6:C6"/>
    <mergeCell ref="A27:B27"/>
    <mergeCell ref="A19:C19"/>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00"/>
  <sheetViews>
    <sheetView showGridLines="0" tabSelected="1" zoomScale="55" zoomScaleNormal="55" workbookViewId="0">
      <selection activeCell="C396" sqref="C396"/>
    </sheetView>
  </sheetViews>
  <sheetFormatPr defaultRowHeight="24" customHeight="1" x14ac:dyDescent="0.25"/>
  <cols>
    <col min="1" max="1" width="32.140625" style="30" customWidth="1"/>
    <col min="2" max="2" width="19.28515625" style="30" bestFit="1" customWidth="1"/>
    <col min="3" max="3" width="22.28515625" style="30" bestFit="1" customWidth="1"/>
    <col min="4" max="4" width="26" style="30" customWidth="1"/>
    <col min="5" max="5" width="18.5703125" style="30" bestFit="1" customWidth="1"/>
    <col min="6" max="6" width="17.7109375" style="30" customWidth="1"/>
    <col min="7" max="7" width="15.85546875" style="30" customWidth="1"/>
    <col min="8" max="16384" width="9.140625" style="30"/>
  </cols>
  <sheetData>
    <row r="1" spans="1:8" ht="24" customHeight="1" x14ac:dyDescent="0.35">
      <c r="A1" s="199" t="s">
        <v>235</v>
      </c>
      <c r="B1" s="199"/>
      <c r="C1" s="199"/>
      <c r="D1" s="199"/>
      <c r="E1" s="199"/>
      <c r="F1" s="199"/>
      <c r="G1" s="199"/>
      <c r="H1" s="199"/>
    </row>
    <row r="2" spans="1:8" ht="24" customHeight="1" x14ac:dyDescent="0.35">
      <c r="A2" s="199" t="s">
        <v>236</v>
      </c>
      <c r="B2" s="199"/>
      <c r="C2" s="199"/>
      <c r="D2" s="199"/>
      <c r="E2" s="199"/>
      <c r="F2" s="199"/>
      <c r="G2" s="199"/>
      <c r="H2" s="199"/>
    </row>
    <row r="3" spans="1:8" ht="177" customHeight="1" x14ac:dyDescent="0.25">
      <c r="A3" s="203" t="s">
        <v>247</v>
      </c>
      <c r="B3" s="203"/>
      <c r="C3" s="203"/>
      <c r="D3" s="203"/>
      <c r="E3" s="203"/>
      <c r="F3" s="203"/>
      <c r="G3" s="203"/>
      <c r="H3" s="203"/>
    </row>
    <row r="4" spans="1:8" ht="24" customHeight="1" x14ac:dyDescent="0.25">
      <c r="A4" s="174"/>
      <c r="B4" s="174"/>
      <c r="C4" s="174"/>
      <c r="D4" s="174"/>
      <c r="E4" s="174"/>
      <c r="F4" s="174"/>
      <c r="G4" s="173"/>
      <c r="H4" s="173"/>
    </row>
    <row r="5" spans="1:8" ht="24" customHeight="1" x14ac:dyDescent="0.25">
      <c r="A5" s="192" t="s">
        <v>5</v>
      </c>
      <c r="B5" s="192"/>
      <c r="C5" s="192"/>
      <c r="D5" s="192"/>
      <c r="E5" s="192"/>
      <c r="F5" s="192"/>
      <c r="G5" s="192"/>
      <c r="H5" s="192"/>
    </row>
    <row r="6" spans="1:8" ht="40.5" customHeight="1" x14ac:dyDescent="0.25">
      <c r="A6" s="203" t="s">
        <v>238</v>
      </c>
      <c r="B6" s="203"/>
      <c r="C6" s="203"/>
      <c r="D6" s="203"/>
      <c r="E6" s="203"/>
      <c r="F6" s="203"/>
      <c r="G6" s="203"/>
      <c r="H6" s="203"/>
    </row>
    <row r="7" spans="1:8" ht="24" customHeight="1" x14ac:dyDescent="0.25">
      <c r="A7" s="120"/>
      <c r="B7" s="120"/>
      <c r="C7" s="120"/>
      <c r="D7" s="120"/>
      <c r="E7" s="120"/>
      <c r="F7" s="120"/>
      <c r="G7" s="115"/>
      <c r="H7" s="115"/>
    </row>
    <row r="8" spans="1:8" ht="24" customHeight="1" x14ac:dyDescent="0.25">
      <c r="A8" s="197" t="s">
        <v>0</v>
      </c>
      <c r="B8" s="198"/>
      <c r="C8" s="198"/>
      <c r="D8" s="198"/>
      <c r="E8" s="198"/>
      <c r="F8" s="198"/>
      <c r="G8" s="198"/>
      <c r="H8" s="198"/>
    </row>
    <row r="9" spans="1:8" ht="33.75" customHeight="1" x14ac:dyDescent="0.25">
      <c r="A9" s="203" t="s">
        <v>248</v>
      </c>
      <c r="B9" s="203"/>
      <c r="C9" s="203"/>
      <c r="D9" s="203"/>
      <c r="E9" s="203"/>
      <c r="F9" s="203"/>
      <c r="G9" s="203"/>
      <c r="H9" s="203"/>
    </row>
    <row r="10" spans="1:8" ht="24" customHeight="1" thickBot="1" x14ac:dyDescent="0.3"/>
    <row r="11" spans="1:8" ht="24" customHeight="1" thickBot="1" x14ac:dyDescent="0.3">
      <c r="A11" s="193" t="s">
        <v>0</v>
      </c>
      <c r="B11" s="195"/>
    </row>
    <row r="12" spans="1:8" ht="24" customHeight="1" x14ac:dyDescent="0.25">
      <c r="A12" s="1" t="s">
        <v>263</v>
      </c>
      <c r="B12" s="12"/>
    </row>
    <row r="13" spans="1:8" ht="24" customHeight="1" thickBot="1" x14ac:dyDescent="0.3">
      <c r="A13" s="82" t="s">
        <v>264</v>
      </c>
      <c r="B13" s="11"/>
    </row>
    <row r="14" spans="1:8" ht="24" customHeight="1" thickBot="1" x14ac:dyDescent="0.3"/>
    <row r="15" spans="1:8" ht="24" hidden="1" customHeight="1" x14ac:dyDescent="0.25">
      <c r="A15" s="197" t="s">
        <v>130</v>
      </c>
      <c r="B15" s="198"/>
      <c r="C15" s="198"/>
      <c r="D15" s="198"/>
      <c r="E15" s="198"/>
      <c r="F15" s="198"/>
      <c r="G15" s="198"/>
      <c r="H15" s="198"/>
    </row>
    <row r="16" spans="1:8" ht="85.5" hidden="1" customHeight="1" x14ac:dyDescent="0.25">
      <c r="A16" s="203" t="s">
        <v>249</v>
      </c>
      <c r="B16" s="203"/>
      <c r="C16" s="203"/>
      <c r="D16" s="203"/>
      <c r="E16" s="203"/>
      <c r="F16" s="203"/>
      <c r="G16" s="203"/>
      <c r="H16" s="203"/>
    </row>
    <row r="17" spans="1:8" ht="24" hidden="1" customHeight="1" thickBot="1" x14ac:dyDescent="0.3">
      <c r="A17" s="120"/>
      <c r="B17" s="120"/>
      <c r="C17" s="120"/>
      <c r="D17" s="120"/>
      <c r="E17" s="120"/>
      <c r="F17" s="120"/>
    </row>
    <row r="18" spans="1:8" ht="24" hidden="1" customHeight="1" thickBot="1" x14ac:dyDescent="0.3">
      <c r="A18" s="200" t="s">
        <v>130</v>
      </c>
      <c r="B18" s="201"/>
      <c r="C18" s="201"/>
      <c r="D18" s="202"/>
    </row>
    <row r="19" spans="1:8" ht="24" hidden="1" customHeight="1" thickBot="1" x14ac:dyDescent="0.3">
      <c r="A19" s="112" t="s">
        <v>3</v>
      </c>
      <c r="B19" s="113" t="s">
        <v>1</v>
      </c>
      <c r="C19" s="113" t="s">
        <v>2</v>
      </c>
      <c r="D19" s="114" t="s">
        <v>131</v>
      </c>
    </row>
    <row r="20" spans="1:8" ht="24" hidden="1" customHeight="1" x14ac:dyDescent="0.25">
      <c r="A20" s="1" t="s">
        <v>263</v>
      </c>
      <c r="B20" s="90">
        <v>1200</v>
      </c>
      <c r="C20" s="121"/>
      <c r="D20" s="69">
        <f>B20*C20</f>
        <v>0</v>
      </c>
      <c r="E20" s="115"/>
      <c r="G20" s="115"/>
      <c r="H20" s="115"/>
    </row>
    <row r="21" spans="1:8" ht="24" hidden="1" customHeight="1" thickBot="1" x14ac:dyDescent="0.3">
      <c r="A21" s="82" t="s">
        <v>264</v>
      </c>
      <c r="B21" s="92">
        <f>B13</f>
        <v>0</v>
      </c>
      <c r="C21" s="122"/>
      <c r="D21" s="123">
        <f>B21*C21</f>
        <v>0</v>
      </c>
      <c r="E21" s="115"/>
      <c r="G21" s="115"/>
      <c r="H21" s="115"/>
    </row>
    <row r="22" spans="1:8" ht="24" hidden="1" customHeight="1" x14ac:dyDescent="0.25"/>
    <row r="23" spans="1:8" ht="24" hidden="1" customHeight="1" x14ac:dyDescent="0.25">
      <c r="A23" s="197" t="s">
        <v>132</v>
      </c>
      <c r="B23" s="198"/>
      <c r="C23" s="198"/>
      <c r="D23" s="198"/>
      <c r="E23" s="198"/>
      <c r="F23" s="198"/>
      <c r="G23" s="198"/>
      <c r="H23" s="198"/>
    </row>
    <row r="24" spans="1:8" ht="72" hidden="1" customHeight="1" x14ac:dyDescent="0.25">
      <c r="A24" s="203" t="s">
        <v>239</v>
      </c>
      <c r="B24" s="203"/>
      <c r="C24" s="203"/>
      <c r="D24" s="203"/>
      <c r="E24" s="203"/>
      <c r="F24" s="203"/>
      <c r="G24" s="203"/>
      <c r="H24" s="203"/>
    </row>
    <row r="25" spans="1:8" ht="24" hidden="1" customHeight="1" thickBot="1" x14ac:dyDescent="0.3">
      <c r="A25" s="115"/>
      <c r="B25" s="115"/>
      <c r="C25" s="115"/>
      <c r="D25" s="115"/>
      <c r="F25" s="115"/>
    </row>
    <row r="26" spans="1:8" ht="24" hidden="1" customHeight="1" thickBot="1" x14ac:dyDescent="0.3">
      <c r="A26" s="193" t="s">
        <v>133</v>
      </c>
      <c r="B26" s="194"/>
      <c r="C26" s="194"/>
      <c r="D26" s="195"/>
    </row>
    <row r="27" spans="1:8" ht="24" hidden="1" customHeight="1" thickBot="1" x14ac:dyDescent="0.3">
      <c r="A27" s="38" t="s">
        <v>3</v>
      </c>
      <c r="B27" s="39" t="s">
        <v>1</v>
      </c>
      <c r="C27" s="39" t="s">
        <v>2</v>
      </c>
      <c r="D27" s="40" t="s">
        <v>4</v>
      </c>
    </row>
    <row r="28" spans="1:8" ht="24" hidden="1" customHeight="1" x14ac:dyDescent="0.25">
      <c r="A28" s="83" t="s">
        <v>136</v>
      </c>
      <c r="B28" s="90"/>
      <c r="C28" s="87"/>
      <c r="D28" s="98">
        <f t="shared" ref="D28:D33" si="0">B28*C28</f>
        <v>0</v>
      </c>
    </row>
    <row r="29" spans="1:8" ht="24" hidden="1" customHeight="1" x14ac:dyDescent="0.25">
      <c r="A29" s="85" t="s">
        <v>139</v>
      </c>
      <c r="B29" s="91"/>
      <c r="C29" s="88">
        <f>C28</f>
        <v>0</v>
      </c>
      <c r="D29" s="99">
        <f t="shared" si="0"/>
        <v>0</v>
      </c>
    </row>
    <row r="30" spans="1:8" ht="24" hidden="1" customHeight="1" thickBot="1" x14ac:dyDescent="0.3">
      <c r="A30" s="93" t="s">
        <v>140</v>
      </c>
      <c r="B30" s="94"/>
      <c r="C30" s="95">
        <f>C29</f>
        <v>0</v>
      </c>
      <c r="D30" s="100">
        <f t="shared" si="0"/>
        <v>0</v>
      </c>
    </row>
    <row r="31" spans="1:8" ht="24" hidden="1" customHeight="1" x14ac:dyDescent="0.25">
      <c r="A31" s="83" t="s">
        <v>137</v>
      </c>
      <c r="B31" s="90"/>
      <c r="C31" s="87">
        <f>C30</f>
        <v>0</v>
      </c>
      <c r="D31" s="98">
        <f t="shared" si="0"/>
        <v>0</v>
      </c>
    </row>
    <row r="32" spans="1:8" ht="24" hidden="1" customHeight="1" x14ac:dyDescent="0.25">
      <c r="A32" s="85" t="s">
        <v>138</v>
      </c>
      <c r="B32" s="91"/>
      <c r="C32" s="88">
        <f>C31</f>
        <v>0</v>
      </c>
      <c r="D32" s="99">
        <f t="shared" si="0"/>
        <v>0</v>
      </c>
    </row>
    <row r="33" spans="1:8" ht="24" hidden="1" customHeight="1" thickBot="1" x14ac:dyDescent="0.3">
      <c r="A33" s="82" t="s">
        <v>142</v>
      </c>
      <c r="B33" s="92"/>
      <c r="C33" s="89">
        <f>C32</f>
        <v>0</v>
      </c>
      <c r="D33" s="101">
        <f t="shared" si="0"/>
        <v>0</v>
      </c>
      <c r="G33" s="115"/>
      <c r="H33" s="115"/>
    </row>
    <row r="34" spans="1:8" ht="24" hidden="1" customHeight="1" x14ac:dyDescent="0.25"/>
    <row r="35" spans="1:8" ht="24" hidden="1" customHeight="1" x14ac:dyDescent="0.25"/>
    <row r="36" spans="1:8" ht="24" hidden="1" customHeight="1" x14ac:dyDescent="0.25">
      <c r="A36" s="197" t="s">
        <v>6</v>
      </c>
      <c r="B36" s="198"/>
      <c r="C36" s="198"/>
      <c r="D36" s="198"/>
      <c r="E36" s="198"/>
      <c r="F36" s="198"/>
      <c r="G36" s="198"/>
      <c r="H36" s="198"/>
    </row>
    <row r="37" spans="1:8" ht="69.75" hidden="1" customHeight="1" x14ac:dyDescent="0.25">
      <c r="A37" s="203" t="s">
        <v>250</v>
      </c>
      <c r="B37" s="203"/>
      <c r="C37" s="203"/>
      <c r="D37" s="203"/>
      <c r="E37" s="203"/>
      <c r="F37" s="203"/>
      <c r="G37" s="203"/>
      <c r="H37" s="203"/>
    </row>
    <row r="38" spans="1:8" ht="24" hidden="1" customHeight="1" thickBot="1" x14ac:dyDescent="0.3"/>
    <row r="39" spans="1:8" ht="24" hidden="1" customHeight="1" thickBot="1" x14ac:dyDescent="0.3">
      <c r="A39" s="200" t="s">
        <v>6</v>
      </c>
      <c r="B39" s="201"/>
      <c r="C39" s="201"/>
      <c r="D39" s="201"/>
      <c r="E39" s="202"/>
    </row>
    <row r="40" spans="1:8" ht="24" hidden="1" customHeight="1" thickBot="1" x14ac:dyDescent="0.3">
      <c r="A40" s="38" t="s">
        <v>3</v>
      </c>
      <c r="B40" s="39" t="s">
        <v>8</v>
      </c>
      <c r="C40" s="39" t="s">
        <v>9</v>
      </c>
      <c r="D40" s="39" t="s">
        <v>2</v>
      </c>
      <c r="E40" s="40" t="s">
        <v>4</v>
      </c>
    </row>
    <row r="41" spans="1:8" ht="24" hidden="1" customHeight="1" x14ac:dyDescent="0.25">
      <c r="A41" s="83" t="s">
        <v>139</v>
      </c>
      <c r="B41" s="90">
        <f>B12+D29</f>
        <v>0</v>
      </c>
      <c r="C41" s="96">
        <f>7/12</f>
        <v>0.58333333333333337</v>
      </c>
      <c r="D41" s="87"/>
      <c r="E41" s="98">
        <f>B41*C41*D41</f>
        <v>0</v>
      </c>
    </row>
    <row r="42" spans="1:8" ht="24" hidden="1" customHeight="1" thickBot="1" x14ac:dyDescent="0.3">
      <c r="A42" s="82" t="s">
        <v>138</v>
      </c>
      <c r="B42" s="92">
        <f>B13+D32</f>
        <v>0</v>
      </c>
      <c r="C42" s="97">
        <f>7/12</f>
        <v>0.58333333333333337</v>
      </c>
      <c r="D42" s="89">
        <f>D41</f>
        <v>0</v>
      </c>
      <c r="E42" s="101">
        <f>B42*C42*D42</f>
        <v>0</v>
      </c>
    </row>
    <row r="43" spans="1:8" ht="24" hidden="1" customHeight="1" thickBot="1" x14ac:dyDescent="0.3">
      <c r="A43" s="200" t="s">
        <v>10</v>
      </c>
      <c r="B43" s="201"/>
      <c r="C43" s="201"/>
      <c r="D43" s="201"/>
      <c r="E43" s="202"/>
    </row>
    <row r="44" spans="1:8" ht="24" hidden="1" customHeight="1" thickBot="1" x14ac:dyDescent="0.3">
      <c r="A44" s="38" t="s">
        <v>3</v>
      </c>
      <c r="B44" s="39" t="s">
        <v>8</v>
      </c>
      <c r="C44" s="39" t="s">
        <v>9</v>
      </c>
      <c r="D44" s="39" t="s">
        <v>2</v>
      </c>
      <c r="E44" s="40" t="s">
        <v>4</v>
      </c>
    </row>
    <row r="45" spans="1:8" ht="24" hidden="1" customHeight="1" x14ac:dyDescent="0.25">
      <c r="A45" s="83" t="s">
        <v>139</v>
      </c>
      <c r="B45" s="90">
        <f>B12+D29</f>
        <v>0</v>
      </c>
      <c r="C45" s="96">
        <f>1/12</f>
        <v>8.3333333333333329E-2</v>
      </c>
      <c r="D45" s="87">
        <f>1+D41</f>
        <v>1</v>
      </c>
      <c r="E45" s="98">
        <f>B45*C45*D45</f>
        <v>0</v>
      </c>
    </row>
    <row r="46" spans="1:8" ht="24" hidden="1" customHeight="1" thickBot="1" x14ac:dyDescent="0.3">
      <c r="A46" s="82" t="s">
        <v>138</v>
      </c>
      <c r="B46" s="92">
        <f>B13+D32</f>
        <v>0</v>
      </c>
      <c r="C46" s="97">
        <f>1/12</f>
        <v>8.3333333333333329E-2</v>
      </c>
      <c r="D46" s="89">
        <f>1+D42</f>
        <v>1</v>
      </c>
      <c r="E46" s="101">
        <f>B46*C46*D46</f>
        <v>0</v>
      </c>
    </row>
    <row r="47" spans="1:8" ht="33.75" hidden="1" customHeight="1" thickBot="1" x14ac:dyDescent="0.3"/>
    <row r="48" spans="1:8" ht="24" hidden="1" customHeight="1" thickBot="1" x14ac:dyDescent="0.3">
      <c r="A48" s="193" t="s">
        <v>7</v>
      </c>
      <c r="B48" s="194"/>
      <c r="C48" s="194"/>
      <c r="D48" s="195"/>
    </row>
    <row r="49" spans="1:8" ht="30.75" hidden="1" customHeight="1" thickBot="1" x14ac:dyDescent="0.3">
      <c r="A49" s="38" t="s">
        <v>3</v>
      </c>
      <c r="B49" s="39" t="s">
        <v>11</v>
      </c>
      <c r="C49" s="13" t="s">
        <v>12</v>
      </c>
      <c r="D49" s="40" t="s">
        <v>4</v>
      </c>
    </row>
    <row r="50" spans="1:8" ht="24" hidden="1" customHeight="1" x14ac:dyDescent="0.25">
      <c r="A50" s="83" t="s">
        <v>139</v>
      </c>
      <c r="B50" s="90">
        <f>E41</f>
        <v>0</v>
      </c>
      <c r="C50" s="90">
        <f>E45</f>
        <v>0</v>
      </c>
      <c r="D50" s="98">
        <f>SUM(B50:C50)</f>
        <v>0</v>
      </c>
    </row>
    <row r="51" spans="1:8" ht="24" hidden="1" customHeight="1" thickBot="1" x14ac:dyDescent="0.3">
      <c r="A51" s="82" t="s">
        <v>138</v>
      </c>
      <c r="B51" s="92">
        <f>E42</f>
        <v>0</v>
      </c>
      <c r="C51" s="92">
        <f>E46</f>
        <v>0</v>
      </c>
      <c r="D51" s="101">
        <f>SUM(B51:C51)</f>
        <v>0</v>
      </c>
      <c r="G51" s="115"/>
      <c r="H51" s="115"/>
    </row>
    <row r="52" spans="1:8" ht="24" hidden="1" customHeight="1" x14ac:dyDescent="0.25"/>
    <row r="53" spans="1:8" ht="24" hidden="1" customHeight="1" x14ac:dyDescent="0.25">
      <c r="A53" s="215" t="s">
        <v>13</v>
      </c>
      <c r="B53" s="215"/>
      <c r="C53" s="215"/>
      <c r="D53" s="215"/>
      <c r="E53" s="115"/>
      <c r="F53" s="115"/>
    </row>
    <row r="54" spans="1:8" ht="48" hidden="1" customHeight="1" x14ac:dyDescent="0.25">
      <c r="A54" s="203" t="s">
        <v>240</v>
      </c>
      <c r="B54" s="203"/>
      <c r="C54" s="203"/>
      <c r="D54" s="203"/>
      <c r="E54" s="203"/>
      <c r="F54" s="203"/>
    </row>
    <row r="55" spans="1:8" ht="24" hidden="1" customHeight="1" thickBot="1" x14ac:dyDescent="0.3"/>
    <row r="56" spans="1:8" ht="24" hidden="1" customHeight="1" thickBot="1" x14ac:dyDescent="0.3">
      <c r="A56" s="193" t="s">
        <v>13</v>
      </c>
      <c r="B56" s="194"/>
      <c r="C56" s="194"/>
      <c r="D56" s="195"/>
    </row>
    <row r="57" spans="1:8" ht="24" hidden="1" customHeight="1" thickBot="1" x14ac:dyDescent="0.3">
      <c r="A57" s="38" t="s">
        <v>3</v>
      </c>
      <c r="B57" s="39" t="s">
        <v>1</v>
      </c>
      <c r="C57" s="39" t="s">
        <v>2</v>
      </c>
      <c r="D57" s="40" t="s">
        <v>4</v>
      </c>
    </row>
    <row r="58" spans="1:8" ht="24" hidden="1" customHeight="1" x14ac:dyDescent="0.25">
      <c r="A58" s="4" t="s">
        <v>136</v>
      </c>
      <c r="B58" s="5"/>
      <c r="C58" s="5"/>
      <c r="D58" s="6"/>
    </row>
    <row r="59" spans="1:8" ht="24" hidden="1" customHeight="1" x14ac:dyDescent="0.25">
      <c r="A59" s="7" t="s">
        <v>139</v>
      </c>
      <c r="B59" s="8"/>
      <c r="C59" s="8"/>
      <c r="D59" s="9"/>
    </row>
    <row r="60" spans="1:8" ht="24" hidden="1" customHeight="1" thickBot="1" x14ac:dyDescent="0.3">
      <c r="A60" s="2" t="s">
        <v>141</v>
      </c>
      <c r="B60" s="10"/>
      <c r="C60" s="10"/>
      <c r="D60" s="3"/>
    </row>
    <row r="61" spans="1:8" ht="24" hidden="1" customHeight="1" x14ac:dyDescent="0.25">
      <c r="A61" s="4" t="s">
        <v>137</v>
      </c>
      <c r="B61" s="5"/>
      <c r="C61" s="5"/>
      <c r="D61" s="6"/>
    </row>
    <row r="62" spans="1:8" ht="24" hidden="1" customHeight="1" x14ac:dyDescent="0.25">
      <c r="A62" s="7" t="s">
        <v>138</v>
      </c>
      <c r="B62" s="8"/>
      <c r="C62" s="8"/>
      <c r="D62" s="9"/>
    </row>
    <row r="63" spans="1:8" ht="24" hidden="1" customHeight="1" thickBot="1" x14ac:dyDescent="0.3">
      <c r="A63" s="2" t="s">
        <v>142</v>
      </c>
      <c r="B63" s="10"/>
      <c r="C63" s="10"/>
      <c r="D63" s="3"/>
      <c r="H63" s="115"/>
    </row>
    <row r="64" spans="1:8" ht="24" hidden="1" customHeight="1" x14ac:dyDescent="0.25"/>
    <row r="65" spans="1:8" ht="24" hidden="1" customHeight="1" x14ac:dyDescent="0.25">
      <c r="A65" s="192" t="s">
        <v>5</v>
      </c>
      <c r="B65" s="192"/>
      <c r="C65" s="192"/>
      <c r="D65" s="192"/>
      <c r="E65" s="192"/>
      <c r="F65" s="192"/>
      <c r="G65" s="192"/>
      <c r="H65" s="192"/>
    </row>
    <row r="66" spans="1:8" ht="42" hidden="1" customHeight="1" x14ac:dyDescent="0.25">
      <c r="A66" s="220" t="s">
        <v>134</v>
      </c>
      <c r="B66" s="220"/>
      <c r="C66" s="220"/>
      <c r="D66" s="220"/>
      <c r="E66" s="220"/>
      <c r="F66" s="220"/>
      <c r="G66" s="220"/>
      <c r="H66" s="220"/>
    </row>
    <row r="67" spans="1:8" ht="30.75" hidden="1" customHeight="1" thickBot="1" x14ac:dyDescent="0.3"/>
    <row r="68" spans="1:8" ht="24" customHeight="1" thickBot="1" x14ac:dyDescent="0.3">
      <c r="A68" s="200" t="s">
        <v>5</v>
      </c>
      <c r="B68" s="201"/>
      <c r="C68" s="201"/>
      <c r="D68" s="201"/>
      <c r="E68" s="201"/>
      <c r="F68" s="201"/>
      <c r="G68" s="202"/>
    </row>
    <row r="69" spans="1:8" ht="48" thickBot="1" x14ac:dyDescent="0.3">
      <c r="A69" s="35" t="s">
        <v>3</v>
      </c>
      <c r="B69" s="36" t="s">
        <v>14</v>
      </c>
      <c r="C69" s="177" t="s">
        <v>135</v>
      </c>
      <c r="D69" s="116" t="s">
        <v>145</v>
      </c>
      <c r="E69" s="36" t="s">
        <v>11</v>
      </c>
      <c r="F69" s="36" t="s">
        <v>15</v>
      </c>
      <c r="G69" s="37" t="s">
        <v>16</v>
      </c>
    </row>
    <row r="70" spans="1:8" ht="24" customHeight="1" x14ac:dyDescent="0.25">
      <c r="A70" s="83" t="s">
        <v>263</v>
      </c>
      <c r="B70" s="90">
        <f>B12</f>
        <v>0</v>
      </c>
      <c r="C70" s="90">
        <f>D20</f>
        <v>0</v>
      </c>
      <c r="D70" s="90">
        <f t="shared" ref="D70:D71" si="1">D28</f>
        <v>0</v>
      </c>
      <c r="E70" s="329">
        <v>0</v>
      </c>
      <c r="F70" s="106">
        <f t="shared" ref="F70:F71" si="2">D58</f>
        <v>0</v>
      </c>
      <c r="G70" s="98">
        <f>SUM(B70:F70)</f>
        <v>0</v>
      </c>
    </row>
    <row r="71" spans="1:8" ht="24" customHeight="1" thickBot="1" x14ac:dyDescent="0.3">
      <c r="A71" s="82" t="s">
        <v>264</v>
      </c>
      <c r="B71" s="92">
        <f>B13</f>
        <v>0</v>
      </c>
      <c r="C71" s="92">
        <f>D20</f>
        <v>0</v>
      </c>
      <c r="D71" s="92">
        <f t="shared" si="1"/>
        <v>0</v>
      </c>
      <c r="E71" s="92">
        <v>0</v>
      </c>
      <c r="F71" s="107">
        <f t="shared" si="2"/>
        <v>0</v>
      </c>
      <c r="G71" s="101">
        <f t="shared" ref="G71" si="3">SUM(B71:F71)</f>
        <v>0</v>
      </c>
    </row>
    <row r="73" spans="1:8" ht="24" customHeight="1" x14ac:dyDescent="0.25">
      <c r="A73" s="192" t="s">
        <v>126</v>
      </c>
      <c r="B73" s="192"/>
      <c r="C73" s="192"/>
      <c r="D73" s="192"/>
      <c r="E73" s="192"/>
      <c r="F73" s="192"/>
      <c r="G73" s="192"/>
      <c r="H73" s="192"/>
    </row>
    <row r="75" spans="1:8" ht="24" customHeight="1" x14ac:dyDescent="0.25">
      <c r="A75" s="197" t="s">
        <v>129</v>
      </c>
      <c r="B75" s="198"/>
      <c r="C75" s="198"/>
      <c r="D75" s="198"/>
      <c r="E75" s="198"/>
      <c r="F75" s="198"/>
      <c r="G75" s="198"/>
      <c r="H75" s="198"/>
    </row>
    <row r="76" spans="1:8" ht="16.5" thickBot="1" x14ac:dyDescent="0.3"/>
    <row r="77" spans="1:8" ht="31.5" customHeight="1" thickBot="1" x14ac:dyDescent="0.3">
      <c r="A77" s="196" t="s">
        <v>143</v>
      </c>
      <c r="B77" s="194"/>
      <c r="C77" s="194"/>
      <c r="D77" s="195"/>
      <c r="E77" s="124"/>
    </row>
    <row r="78" spans="1:8" ht="32.25" thickBot="1" x14ac:dyDescent="0.3">
      <c r="A78" s="14" t="s">
        <v>3</v>
      </c>
      <c r="B78" s="15" t="s">
        <v>1</v>
      </c>
      <c r="C78" s="111" t="s">
        <v>128</v>
      </c>
      <c r="D78" s="16" t="s">
        <v>4</v>
      </c>
    </row>
    <row r="79" spans="1:8" ht="24" customHeight="1" x14ac:dyDescent="0.25">
      <c r="A79" s="83" t="s">
        <v>263</v>
      </c>
      <c r="B79" s="90">
        <f>G70</f>
        <v>0</v>
      </c>
      <c r="C79" s="103">
        <f>1/12</f>
        <v>8.3333333333333329E-2</v>
      </c>
      <c r="D79" s="98">
        <f>B79*C79</f>
        <v>0</v>
      </c>
    </row>
    <row r="80" spans="1:8" ht="24" customHeight="1" thickBot="1" x14ac:dyDescent="0.3">
      <c r="A80" s="82" t="s">
        <v>264</v>
      </c>
      <c r="B80" s="92">
        <f>G71</f>
        <v>0</v>
      </c>
      <c r="C80" s="102">
        <f t="shared" ref="C80" si="4">1/12</f>
        <v>8.3333333333333329E-2</v>
      </c>
      <c r="D80" s="101">
        <f t="shared" ref="D80" si="5">B80*C80</f>
        <v>0</v>
      </c>
    </row>
    <row r="81" spans="1:5" ht="16.5" thickBot="1" x14ac:dyDescent="0.3"/>
    <row r="82" spans="1:5" ht="36.75" customHeight="1" thickBot="1" x14ac:dyDescent="0.3">
      <c r="A82" s="196" t="s">
        <v>144</v>
      </c>
      <c r="B82" s="194"/>
      <c r="C82" s="194"/>
      <c r="D82" s="195"/>
    </row>
    <row r="83" spans="1:5" ht="30.75" customHeight="1" thickBot="1" x14ac:dyDescent="0.3">
      <c r="A83" s="14" t="s">
        <v>3</v>
      </c>
      <c r="B83" s="15" t="s">
        <v>1</v>
      </c>
      <c r="C83" s="111" t="s">
        <v>128</v>
      </c>
      <c r="D83" s="16" t="s">
        <v>4</v>
      </c>
    </row>
    <row r="84" spans="1:5" ht="24" customHeight="1" x14ac:dyDescent="0.25">
      <c r="A84" s="83" t="s">
        <v>263</v>
      </c>
      <c r="B84" s="90">
        <f>G70</f>
        <v>0</v>
      </c>
      <c r="C84" s="103">
        <f>1/12</f>
        <v>8.3333333333333329E-2</v>
      </c>
      <c r="D84" s="98">
        <f>B84*C84</f>
        <v>0</v>
      </c>
    </row>
    <row r="85" spans="1:5" ht="24" customHeight="1" thickBot="1" x14ac:dyDescent="0.3">
      <c r="A85" s="82" t="s">
        <v>264</v>
      </c>
      <c r="B85" s="92">
        <f>G71</f>
        <v>0</v>
      </c>
      <c r="C85" s="102">
        <f t="shared" ref="C85" si="6">1/12</f>
        <v>8.3333333333333329E-2</v>
      </c>
      <c r="D85" s="101">
        <f t="shared" ref="D85" si="7">B85*C85</f>
        <v>0</v>
      </c>
    </row>
    <row r="86" spans="1:5" ht="38.25" customHeight="1" thickBot="1" x14ac:dyDescent="0.3"/>
    <row r="87" spans="1:5" ht="24" customHeight="1" thickBot="1" x14ac:dyDescent="0.3">
      <c r="A87" s="206" t="s">
        <v>17</v>
      </c>
      <c r="B87" s="207"/>
      <c r="C87" s="207"/>
      <c r="D87" s="207"/>
      <c r="E87" s="208"/>
    </row>
    <row r="88" spans="1:5" ht="30" customHeight="1" thickBot="1" x14ac:dyDescent="0.3">
      <c r="A88" s="14" t="s">
        <v>3</v>
      </c>
      <c r="B88" s="15" t="s">
        <v>1</v>
      </c>
      <c r="C88" s="111" t="s">
        <v>18</v>
      </c>
      <c r="D88" s="111" t="s">
        <v>128</v>
      </c>
      <c r="E88" s="16" t="s">
        <v>4</v>
      </c>
    </row>
    <row r="89" spans="1:5" ht="24" customHeight="1" x14ac:dyDescent="0.25">
      <c r="A89" s="83" t="s">
        <v>263</v>
      </c>
      <c r="B89" s="90">
        <f>G70</f>
        <v>0</v>
      </c>
      <c r="C89" s="96">
        <f>1/3</f>
        <v>0.33333333333333331</v>
      </c>
      <c r="D89" s="103">
        <f>1/12</f>
        <v>8.3333333333333329E-2</v>
      </c>
      <c r="E89" s="98">
        <f t="shared" ref="E89:E90" si="8">B89*C89*D89</f>
        <v>0</v>
      </c>
    </row>
    <row r="90" spans="1:5" ht="24" customHeight="1" thickBot="1" x14ac:dyDescent="0.3">
      <c r="A90" s="82" t="s">
        <v>264</v>
      </c>
      <c r="B90" s="92">
        <f>G71</f>
        <v>0</v>
      </c>
      <c r="C90" s="97">
        <f t="shared" ref="C90" si="9">1/3</f>
        <v>0.33333333333333331</v>
      </c>
      <c r="D90" s="102">
        <f t="shared" ref="D90" si="10">1/12</f>
        <v>8.3333333333333329E-2</v>
      </c>
      <c r="E90" s="101">
        <f t="shared" si="8"/>
        <v>0</v>
      </c>
    </row>
    <row r="91" spans="1:5" ht="24" customHeight="1" thickBot="1" x14ac:dyDescent="0.3"/>
    <row r="92" spans="1:5" ht="24" customHeight="1" thickBot="1" x14ac:dyDescent="0.3">
      <c r="A92" s="200" t="s">
        <v>129</v>
      </c>
      <c r="B92" s="201"/>
      <c r="C92" s="201"/>
      <c r="D92" s="201"/>
      <c r="E92" s="202"/>
    </row>
    <row r="93" spans="1:5" ht="24" customHeight="1" thickBot="1" x14ac:dyDescent="0.3">
      <c r="A93" s="14" t="s">
        <v>3</v>
      </c>
      <c r="B93" s="15" t="s">
        <v>125</v>
      </c>
      <c r="C93" s="15" t="s">
        <v>124</v>
      </c>
      <c r="D93" s="15" t="s">
        <v>19</v>
      </c>
      <c r="E93" s="16" t="s">
        <v>16</v>
      </c>
    </row>
    <row r="94" spans="1:5" ht="24" customHeight="1" x14ac:dyDescent="0.25">
      <c r="A94" s="83" t="s">
        <v>263</v>
      </c>
      <c r="B94" s="90">
        <f>D79</f>
        <v>0</v>
      </c>
      <c r="C94" s="90">
        <f>D84</f>
        <v>0</v>
      </c>
      <c r="D94" s="90">
        <f>E89</f>
        <v>0</v>
      </c>
      <c r="E94" s="98">
        <f t="shared" ref="E94:E95" si="11">SUM(B94:D94)</f>
        <v>0</v>
      </c>
    </row>
    <row r="95" spans="1:5" ht="24" customHeight="1" thickBot="1" x14ac:dyDescent="0.3">
      <c r="A95" s="82" t="s">
        <v>264</v>
      </c>
      <c r="B95" s="92">
        <f>D80</f>
        <v>0</v>
      </c>
      <c r="C95" s="92">
        <f>D85</f>
        <v>0</v>
      </c>
      <c r="D95" s="92">
        <f>E90</f>
        <v>0</v>
      </c>
      <c r="E95" s="101">
        <f t="shared" si="11"/>
        <v>0</v>
      </c>
    </row>
    <row r="97" spans="1:8" ht="24" customHeight="1" x14ac:dyDescent="0.25">
      <c r="A97" s="197" t="s">
        <v>21</v>
      </c>
      <c r="B97" s="198"/>
      <c r="C97" s="198"/>
      <c r="D97" s="198"/>
      <c r="E97" s="198"/>
      <c r="F97" s="198"/>
      <c r="G97" s="198"/>
      <c r="H97" s="198"/>
    </row>
    <row r="98" spans="1:8" ht="51.75" customHeight="1" x14ac:dyDescent="0.25">
      <c r="A98" s="203" t="s">
        <v>241</v>
      </c>
      <c r="B98" s="203"/>
      <c r="C98" s="203"/>
      <c r="D98" s="203"/>
      <c r="E98" s="203"/>
      <c r="F98" s="203"/>
      <c r="G98" s="203"/>
      <c r="H98" s="203"/>
    </row>
    <row r="99" spans="1:8" ht="24" customHeight="1" thickBot="1" x14ac:dyDescent="0.3"/>
    <row r="100" spans="1:8" ht="24" customHeight="1" thickBot="1" x14ac:dyDescent="0.3">
      <c r="A100" s="193" t="s">
        <v>22</v>
      </c>
      <c r="B100" s="195"/>
    </row>
    <row r="101" spans="1:8" ht="24" customHeight="1" thickBot="1" x14ac:dyDescent="0.3">
      <c r="A101" s="14" t="s">
        <v>23</v>
      </c>
      <c r="B101" s="16" t="s">
        <v>2</v>
      </c>
    </row>
    <row r="102" spans="1:8" ht="24" customHeight="1" x14ac:dyDescent="0.25">
      <c r="A102" s="4" t="s">
        <v>24</v>
      </c>
      <c r="B102" s="19">
        <v>0.2</v>
      </c>
    </row>
    <row r="103" spans="1:8" ht="24" customHeight="1" x14ac:dyDescent="0.25">
      <c r="A103" s="7" t="s">
        <v>25</v>
      </c>
      <c r="B103" s="18">
        <v>2.5000000000000001E-2</v>
      </c>
    </row>
    <row r="104" spans="1:8" ht="24" customHeight="1" x14ac:dyDescent="0.25">
      <c r="A104" s="7" t="s">
        <v>26</v>
      </c>
      <c r="B104" s="164">
        <v>0.03</v>
      </c>
    </row>
    <row r="105" spans="1:8" ht="24" customHeight="1" x14ac:dyDescent="0.25">
      <c r="A105" s="7" t="s">
        <v>27</v>
      </c>
      <c r="B105" s="18">
        <v>1.4999999999999999E-2</v>
      </c>
    </row>
    <row r="106" spans="1:8" ht="24" customHeight="1" x14ac:dyDescent="0.25">
      <c r="A106" s="7" t="s">
        <v>28</v>
      </c>
      <c r="B106" s="18">
        <v>0.01</v>
      </c>
    </row>
    <row r="107" spans="1:8" ht="24" customHeight="1" x14ac:dyDescent="0.25">
      <c r="A107" s="7" t="s">
        <v>29</v>
      </c>
      <c r="B107" s="18">
        <v>6.0000000000000001E-3</v>
      </c>
    </row>
    <row r="108" spans="1:8" ht="24" customHeight="1" x14ac:dyDescent="0.25">
      <c r="A108" s="7" t="s">
        <v>30</v>
      </c>
      <c r="B108" s="18">
        <v>2E-3</v>
      </c>
    </row>
    <row r="109" spans="1:8" ht="24" customHeight="1" thickBot="1" x14ac:dyDescent="0.3">
      <c r="A109" s="2" t="s">
        <v>31</v>
      </c>
      <c r="B109" s="20">
        <v>0.08</v>
      </c>
    </row>
    <row r="110" spans="1:8" ht="24" customHeight="1" thickBot="1" x14ac:dyDescent="0.3">
      <c r="A110" s="169" t="s">
        <v>32</v>
      </c>
      <c r="B110" s="170">
        <f>SUM(B102:B109)</f>
        <v>0.36800000000000005</v>
      </c>
    </row>
    <row r="111" spans="1:8" ht="24" customHeight="1" thickBot="1" x14ac:dyDescent="0.3"/>
    <row r="112" spans="1:8" ht="24" customHeight="1" thickBot="1" x14ac:dyDescent="0.3">
      <c r="A112" s="193" t="s">
        <v>33</v>
      </c>
      <c r="B112" s="194"/>
      <c r="C112" s="194"/>
      <c r="D112" s="195"/>
    </row>
    <row r="113" spans="1:8" ht="24" customHeight="1" thickBot="1" x14ac:dyDescent="0.3">
      <c r="A113" s="14" t="s">
        <v>3</v>
      </c>
      <c r="B113" s="15" t="s">
        <v>1</v>
      </c>
      <c r="C113" s="15" t="s">
        <v>2</v>
      </c>
      <c r="D113" s="16" t="s">
        <v>4</v>
      </c>
    </row>
    <row r="114" spans="1:8" ht="24" customHeight="1" x14ac:dyDescent="0.25">
      <c r="A114" s="83" t="s">
        <v>263</v>
      </c>
      <c r="B114" s="90">
        <f>G70+E94</f>
        <v>0</v>
      </c>
      <c r="C114" s="171">
        <f>SUM($B$102:$B$108)</f>
        <v>0.28800000000000003</v>
      </c>
      <c r="D114" s="98">
        <f>B114*C114</f>
        <v>0</v>
      </c>
    </row>
    <row r="115" spans="1:8" ht="24" customHeight="1" thickBot="1" x14ac:dyDescent="0.3">
      <c r="A115" s="82" t="s">
        <v>264</v>
      </c>
      <c r="B115" s="92">
        <f>G71+E95</f>
        <v>0</v>
      </c>
      <c r="C115" s="172">
        <f t="shared" ref="C115" si="12">SUM($B$102:$B$108)</f>
        <v>0.28800000000000003</v>
      </c>
      <c r="D115" s="101">
        <f t="shared" ref="D115" si="13">B115*C115</f>
        <v>0</v>
      </c>
    </row>
    <row r="116" spans="1:8" ht="24" customHeight="1" thickBot="1" x14ac:dyDescent="0.3"/>
    <row r="117" spans="1:8" ht="24" customHeight="1" thickBot="1" x14ac:dyDescent="0.3">
      <c r="A117" s="193" t="s">
        <v>34</v>
      </c>
      <c r="B117" s="194"/>
      <c r="C117" s="194"/>
      <c r="D117" s="195"/>
    </row>
    <row r="118" spans="1:8" ht="24" customHeight="1" thickBot="1" x14ac:dyDescent="0.3">
      <c r="A118" s="14" t="s">
        <v>3</v>
      </c>
      <c r="B118" s="15" t="s">
        <v>1</v>
      </c>
      <c r="C118" s="15" t="s">
        <v>2</v>
      </c>
      <c r="D118" s="16" t="s">
        <v>4</v>
      </c>
    </row>
    <row r="119" spans="1:8" ht="24" customHeight="1" x14ac:dyDescent="0.25">
      <c r="A119" s="83" t="s">
        <v>263</v>
      </c>
      <c r="B119" s="90">
        <f>G70+E94</f>
        <v>0</v>
      </c>
      <c r="C119" s="103">
        <f>$B$109</f>
        <v>0.08</v>
      </c>
      <c r="D119" s="98">
        <f>B119*C119</f>
        <v>0</v>
      </c>
    </row>
    <row r="120" spans="1:8" ht="24" customHeight="1" thickBot="1" x14ac:dyDescent="0.3">
      <c r="A120" s="82" t="s">
        <v>264</v>
      </c>
      <c r="B120" s="92">
        <f>G71+E95</f>
        <v>0</v>
      </c>
      <c r="C120" s="102">
        <f t="shared" ref="C120" si="14">$B$109</f>
        <v>0.08</v>
      </c>
      <c r="D120" s="101">
        <f t="shared" ref="D120" si="15">B120*C120</f>
        <v>0</v>
      </c>
    </row>
    <row r="121" spans="1:8" ht="24" customHeight="1" thickBot="1" x14ac:dyDescent="0.3"/>
    <row r="122" spans="1:8" ht="24" customHeight="1" x14ac:dyDescent="0.25">
      <c r="A122" s="212" t="s">
        <v>21</v>
      </c>
      <c r="B122" s="213"/>
      <c r="C122" s="213"/>
      <c r="D122" s="214"/>
    </row>
    <row r="123" spans="1:8" ht="24" customHeight="1" thickBot="1" x14ac:dyDescent="0.3">
      <c r="A123" s="330" t="s">
        <v>3</v>
      </c>
      <c r="B123" s="331" t="s">
        <v>35</v>
      </c>
      <c r="C123" s="331" t="s">
        <v>31</v>
      </c>
      <c r="D123" s="332" t="s">
        <v>16</v>
      </c>
    </row>
    <row r="124" spans="1:8" ht="24" customHeight="1" x14ac:dyDescent="0.25">
      <c r="A124" s="83" t="s">
        <v>263</v>
      </c>
      <c r="B124" s="90">
        <f>D114</f>
        <v>0</v>
      </c>
      <c r="C124" s="90">
        <f>D119</f>
        <v>0</v>
      </c>
      <c r="D124" s="98">
        <f>B124+C124</f>
        <v>0</v>
      </c>
    </row>
    <row r="125" spans="1:8" ht="24" customHeight="1" thickBot="1" x14ac:dyDescent="0.3">
      <c r="A125" s="82" t="s">
        <v>264</v>
      </c>
      <c r="B125" s="92">
        <f>D115</f>
        <v>0</v>
      </c>
      <c r="C125" s="92">
        <f>D120</f>
        <v>0</v>
      </c>
      <c r="D125" s="101">
        <f t="shared" ref="D125" si="16">B125+C125</f>
        <v>0</v>
      </c>
    </row>
    <row r="127" spans="1:8" ht="24" customHeight="1" x14ac:dyDescent="0.25">
      <c r="A127" s="197" t="s">
        <v>36</v>
      </c>
      <c r="B127" s="198"/>
      <c r="C127" s="198"/>
      <c r="D127" s="198"/>
      <c r="E127" s="198"/>
      <c r="F127" s="198"/>
      <c r="G127" s="198"/>
      <c r="H127" s="198"/>
    </row>
    <row r="128" spans="1:8" ht="72.75" customHeight="1" x14ac:dyDescent="0.25">
      <c r="A128" s="203" t="s">
        <v>242</v>
      </c>
      <c r="B128" s="203"/>
      <c r="C128" s="203"/>
      <c r="D128" s="203"/>
      <c r="E128" s="203"/>
      <c r="F128" s="203"/>
      <c r="G128" s="203"/>
      <c r="H128" s="203"/>
    </row>
    <row r="130" spans="1:7" ht="24" customHeight="1" x14ac:dyDescent="0.25">
      <c r="A130" s="215" t="s">
        <v>37</v>
      </c>
      <c r="B130" s="215"/>
      <c r="C130" s="215"/>
      <c r="D130" s="215"/>
      <c r="E130" s="215"/>
      <c r="F130" s="215"/>
      <c r="G130" s="115"/>
    </row>
    <row r="131" spans="1:7" ht="36" customHeight="1" thickBot="1" x14ac:dyDescent="0.3"/>
    <row r="132" spans="1:7" ht="24" customHeight="1" thickBot="1" x14ac:dyDescent="0.3">
      <c r="A132" s="200" t="s">
        <v>42</v>
      </c>
      <c r="B132" s="201"/>
      <c r="C132" s="201"/>
      <c r="D132" s="201"/>
      <c r="E132" s="202"/>
    </row>
    <row r="133" spans="1:7" ht="32.25" thickBot="1" x14ac:dyDescent="0.3">
      <c r="A133" s="333" t="s">
        <v>3</v>
      </c>
      <c r="B133" s="334" t="s">
        <v>38</v>
      </c>
      <c r="C133" s="334" t="s">
        <v>39</v>
      </c>
      <c r="D133" s="335" t="s">
        <v>41</v>
      </c>
      <c r="E133" s="336" t="s">
        <v>40</v>
      </c>
    </row>
    <row r="134" spans="1:7" ht="24" customHeight="1" x14ac:dyDescent="0.25">
      <c r="A134" s="83" t="s">
        <v>263</v>
      </c>
      <c r="B134" s="90">
        <v>3.8</v>
      </c>
      <c r="C134" s="21">
        <v>2</v>
      </c>
      <c r="D134" s="21">
        <v>15</v>
      </c>
      <c r="E134" s="98">
        <f t="shared" ref="E134:E135" si="17">B134*C134*D134</f>
        <v>114</v>
      </c>
    </row>
    <row r="135" spans="1:7" ht="24" customHeight="1" thickBot="1" x14ac:dyDescent="0.3">
      <c r="A135" s="82" t="s">
        <v>264</v>
      </c>
      <c r="B135" s="92">
        <f>B134</f>
        <v>3.8</v>
      </c>
      <c r="C135" s="22">
        <f t="shared" ref="C135" si="18">C134</f>
        <v>2</v>
      </c>
      <c r="D135" s="22">
        <v>15</v>
      </c>
      <c r="E135" s="101">
        <f t="shared" si="17"/>
        <v>114</v>
      </c>
    </row>
    <row r="136" spans="1:7" ht="24" customHeight="1" thickBot="1" x14ac:dyDescent="0.3"/>
    <row r="137" spans="1:7" ht="24" customHeight="1" thickBot="1" x14ac:dyDescent="0.3">
      <c r="A137" s="200" t="s">
        <v>46</v>
      </c>
      <c r="B137" s="201"/>
      <c r="C137" s="201"/>
      <c r="D137" s="201"/>
      <c r="E137" s="202"/>
    </row>
    <row r="138" spans="1:7" ht="24" customHeight="1" thickBot="1" x14ac:dyDescent="0.3">
      <c r="A138" s="14" t="s">
        <v>3</v>
      </c>
      <c r="B138" s="15" t="s">
        <v>1</v>
      </c>
      <c r="C138" s="15" t="s">
        <v>43</v>
      </c>
      <c r="D138" s="15" t="s">
        <v>2</v>
      </c>
      <c r="E138" s="16" t="s">
        <v>44</v>
      </c>
    </row>
    <row r="139" spans="1:7" ht="24" customHeight="1" x14ac:dyDescent="0.25">
      <c r="A139" s="83" t="s">
        <v>263</v>
      </c>
      <c r="B139" s="90">
        <f>B12</f>
        <v>0</v>
      </c>
      <c r="C139" s="87">
        <v>0.5</v>
      </c>
      <c r="D139" s="87">
        <v>0.06</v>
      </c>
      <c r="E139" s="98">
        <f t="shared" ref="E139:E140" si="19">B139*C139*D139</f>
        <v>0</v>
      </c>
    </row>
    <row r="140" spans="1:7" ht="24" customHeight="1" thickBot="1" x14ac:dyDescent="0.3">
      <c r="A140" s="82" t="s">
        <v>264</v>
      </c>
      <c r="B140" s="92">
        <f>B12</f>
        <v>0</v>
      </c>
      <c r="C140" s="89">
        <v>0.5</v>
      </c>
      <c r="D140" s="89">
        <v>0.06</v>
      </c>
      <c r="E140" s="101">
        <f t="shared" si="19"/>
        <v>0</v>
      </c>
    </row>
    <row r="141" spans="1:7" ht="24" customHeight="1" thickBot="1" x14ac:dyDescent="0.3"/>
    <row r="142" spans="1:7" ht="24" customHeight="1" thickBot="1" x14ac:dyDescent="0.3">
      <c r="A142" s="193" t="s">
        <v>48</v>
      </c>
      <c r="B142" s="194"/>
      <c r="C142" s="194"/>
      <c r="D142" s="195"/>
    </row>
    <row r="143" spans="1:7" ht="24" customHeight="1" thickBot="1" x14ac:dyDescent="0.3">
      <c r="A143" s="14" t="s">
        <v>3</v>
      </c>
      <c r="B143" s="15" t="s">
        <v>40</v>
      </c>
      <c r="C143" s="15" t="s">
        <v>45</v>
      </c>
      <c r="D143" s="16" t="s">
        <v>47</v>
      </c>
    </row>
    <row r="144" spans="1:7" ht="24" customHeight="1" x14ac:dyDescent="0.25">
      <c r="A144" s="83" t="s">
        <v>263</v>
      </c>
      <c r="B144" s="90">
        <f>E134</f>
        <v>114</v>
      </c>
      <c r="C144" s="90">
        <f>E139</f>
        <v>0</v>
      </c>
      <c r="D144" s="98">
        <f>B144-C144</f>
        <v>114</v>
      </c>
    </row>
    <row r="145" spans="1:7" ht="24" customHeight="1" thickBot="1" x14ac:dyDescent="0.3">
      <c r="A145" s="82" t="s">
        <v>264</v>
      </c>
      <c r="B145" s="92">
        <f>E135</f>
        <v>114</v>
      </c>
      <c r="C145" s="92">
        <f>E140</f>
        <v>0</v>
      </c>
      <c r="D145" s="101">
        <f t="shared" ref="D145" si="20">B145-C145</f>
        <v>114</v>
      </c>
    </row>
    <row r="147" spans="1:7" ht="24" customHeight="1" x14ac:dyDescent="0.25">
      <c r="A147" s="215" t="s">
        <v>49</v>
      </c>
      <c r="B147" s="215"/>
      <c r="C147" s="215"/>
      <c r="D147" s="215"/>
      <c r="E147" s="215"/>
      <c r="F147" s="215"/>
      <c r="G147" s="115"/>
    </row>
    <row r="148" spans="1:7" ht="31.5" customHeight="1" thickBot="1" x14ac:dyDescent="0.3"/>
    <row r="149" spans="1:7" ht="24" customHeight="1" thickBot="1" x14ac:dyDescent="0.3">
      <c r="A149" s="193" t="s">
        <v>49</v>
      </c>
      <c r="B149" s="194"/>
      <c r="C149" s="194"/>
      <c r="D149" s="195"/>
    </row>
    <row r="150" spans="1:7" ht="27" customHeight="1" thickBot="1" x14ac:dyDescent="0.3">
      <c r="A150" s="65" t="s">
        <v>3</v>
      </c>
      <c r="B150" s="66" t="s">
        <v>50</v>
      </c>
      <c r="C150" s="13" t="s">
        <v>41</v>
      </c>
      <c r="D150" s="67" t="s">
        <v>4</v>
      </c>
    </row>
    <row r="151" spans="1:7" ht="24" customHeight="1" x14ac:dyDescent="0.25">
      <c r="A151" s="83" t="s">
        <v>263</v>
      </c>
      <c r="B151" s="90">
        <v>14</v>
      </c>
      <c r="C151" s="21">
        <f>D134</f>
        <v>15</v>
      </c>
      <c r="D151" s="98">
        <f>B151*C151</f>
        <v>210</v>
      </c>
    </row>
    <row r="152" spans="1:7" ht="24" customHeight="1" thickBot="1" x14ac:dyDescent="0.3">
      <c r="A152" s="82" t="s">
        <v>264</v>
      </c>
      <c r="B152" s="92">
        <v>14</v>
      </c>
      <c r="C152" s="22">
        <f>D135</f>
        <v>15</v>
      </c>
      <c r="D152" s="101">
        <f t="shared" ref="D152" si="21">B152*C152</f>
        <v>210</v>
      </c>
    </row>
    <row r="153" spans="1:7" ht="24" customHeight="1" thickBot="1" x14ac:dyDescent="0.3"/>
    <row r="154" spans="1:7" ht="24" customHeight="1" thickBot="1" x14ac:dyDescent="0.3">
      <c r="A154" s="193" t="s">
        <v>51</v>
      </c>
      <c r="B154" s="194"/>
      <c r="C154" s="194"/>
      <c r="D154" s="195"/>
    </row>
    <row r="155" spans="1:7" ht="24" customHeight="1" thickBot="1" x14ac:dyDescent="0.3">
      <c r="A155" s="14" t="s">
        <v>3</v>
      </c>
      <c r="B155" s="15" t="s">
        <v>1</v>
      </c>
      <c r="C155" s="15" t="s">
        <v>2</v>
      </c>
      <c r="D155" s="16" t="s">
        <v>44</v>
      </c>
    </row>
    <row r="156" spans="1:7" ht="24" customHeight="1" x14ac:dyDescent="0.25">
      <c r="A156" s="83" t="s">
        <v>263</v>
      </c>
      <c r="B156" s="90">
        <f>D151</f>
        <v>210</v>
      </c>
      <c r="C156" s="87"/>
      <c r="D156" s="98">
        <f>B156*C156</f>
        <v>0</v>
      </c>
    </row>
    <row r="157" spans="1:7" ht="24" customHeight="1" thickBot="1" x14ac:dyDescent="0.3">
      <c r="A157" s="82" t="s">
        <v>264</v>
      </c>
      <c r="B157" s="92">
        <f>D152</f>
        <v>210</v>
      </c>
      <c r="C157" s="89">
        <f>C156</f>
        <v>0</v>
      </c>
      <c r="D157" s="101">
        <f t="shared" ref="D157" si="22">B157*C157</f>
        <v>0</v>
      </c>
    </row>
    <row r="158" spans="1:7" ht="24" customHeight="1" thickBot="1" x14ac:dyDescent="0.3"/>
    <row r="159" spans="1:7" ht="24" customHeight="1" thickBot="1" x14ac:dyDescent="0.3">
      <c r="A159" s="193" t="s">
        <v>52</v>
      </c>
      <c r="B159" s="194"/>
      <c r="C159" s="194"/>
      <c r="D159" s="195"/>
    </row>
    <row r="160" spans="1:7" ht="24" customHeight="1" thickBot="1" x14ac:dyDescent="0.3">
      <c r="A160" s="14" t="s">
        <v>3</v>
      </c>
      <c r="B160" s="15" t="s">
        <v>40</v>
      </c>
      <c r="C160" s="15" t="s">
        <v>44</v>
      </c>
      <c r="D160" s="16" t="s">
        <v>47</v>
      </c>
    </row>
    <row r="161" spans="1:8" ht="24" customHeight="1" x14ac:dyDescent="0.25">
      <c r="A161" s="83" t="s">
        <v>263</v>
      </c>
      <c r="B161" s="90">
        <f>D151</f>
        <v>210</v>
      </c>
      <c r="C161" s="90">
        <f>D156</f>
        <v>0</v>
      </c>
      <c r="D161" s="98">
        <f>B161-C161</f>
        <v>210</v>
      </c>
    </row>
    <row r="162" spans="1:8" ht="24" customHeight="1" thickBot="1" x14ac:dyDescent="0.3">
      <c r="A162" s="82" t="s">
        <v>264</v>
      </c>
      <c r="B162" s="92">
        <f>D152</f>
        <v>210</v>
      </c>
      <c r="C162" s="92">
        <f>D157</f>
        <v>0</v>
      </c>
      <c r="D162" s="101">
        <f t="shared" ref="D162" si="23">B162-C162</f>
        <v>210</v>
      </c>
    </row>
    <row r="164" spans="1:8" ht="34.5" customHeight="1" x14ac:dyDescent="0.25">
      <c r="A164" s="221" t="s">
        <v>322</v>
      </c>
      <c r="B164" s="221"/>
      <c r="C164" s="221"/>
      <c r="D164" s="221"/>
      <c r="E164" s="221"/>
      <c r="F164" s="221"/>
      <c r="G164" s="221"/>
      <c r="H164" s="221"/>
    </row>
    <row r="165" spans="1:8" ht="24" customHeight="1" thickBot="1" x14ac:dyDescent="0.3"/>
    <row r="166" spans="1:8" ht="24" customHeight="1" thickBot="1" x14ac:dyDescent="0.3">
      <c r="A166" s="193" t="s">
        <v>314</v>
      </c>
      <c r="B166" s="194"/>
      <c r="C166" s="194"/>
      <c r="D166" s="195"/>
    </row>
    <row r="167" spans="1:8" ht="24" customHeight="1" thickBot="1" x14ac:dyDescent="0.3">
      <c r="A167" s="14" t="s">
        <v>3</v>
      </c>
      <c r="B167" s="15" t="s">
        <v>40</v>
      </c>
      <c r="C167" s="15" t="s">
        <v>45</v>
      </c>
      <c r="D167" s="16" t="s">
        <v>47</v>
      </c>
    </row>
    <row r="168" spans="1:8" ht="24" customHeight="1" x14ac:dyDescent="0.25">
      <c r="A168" s="83" t="s">
        <v>263</v>
      </c>
      <c r="B168" s="337">
        <v>85</v>
      </c>
      <c r="C168" s="90">
        <v>0</v>
      </c>
      <c r="D168" s="98">
        <f t="shared" ref="D168:D169" si="24">B168-C168</f>
        <v>85</v>
      </c>
    </row>
    <row r="169" spans="1:8" ht="24" customHeight="1" thickBot="1" x14ac:dyDescent="0.3">
      <c r="A169" s="82" t="s">
        <v>264</v>
      </c>
      <c r="B169" s="338">
        <v>85</v>
      </c>
      <c r="C169" s="92">
        <v>0</v>
      </c>
      <c r="D169" s="101">
        <f t="shared" si="24"/>
        <v>85</v>
      </c>
    </row>
    <row r="170" spans="1:8" ht="46.5" customHeight="1" thickBot="1" x14ac:dyDescent="0.3">
      <c r="A170" s="215" t="s">
        <v>319</v>
      </c>
      <c r="B170" s="215"/>
      <c r="C170" s="215"/>
      <c r="D170" s="215"/>
      <c r="E170" s="215"/>
      <c r="F170" s="215"/>
      <c r="G170" s="215"/>
      <c r="H170" s="215"/>
    </row>
    <row r="171" spans="1:8" ht="24" customHeight="1" thickBot="1" x14ac:dyDescent="0.3">
      <c r="A171" s="193" t="s">
        <v>320</v>
      </c>
      <c r="B171" s="194"/>
      <c r="C171" s="194"/>
      <c r="D171" s="195"/>
    </row>
    <row r="172" spans="1:8" ht="24" customHeight="1" thickBot="1" x14ac:dyDescent="0.3">
      <c r="A172" s="14" t="s">
        <v>3</v>
      </c>
      <c r="B172" s="15" t="s">
        <v>40</v>
      </c>
      <c r="C172" s="15" t="s">
        <v>45</v>
      </c>
      <c r="D172" s="16" t="s">
        <v>47</v>
      </c>
    </row>
    <row r="173" spans="1:8" ht="24" customHeight="1" x14ac:dyDescent="0.25">
      <c r="A173" s="83" t="s">
        <v>263</v>
      </c>
      <c r="B173" s="90">
        <v>10</v>
      </c>
      <c r="C173" s="90">
        <v>0</v>
      </c>
      <c r="D173" s="98">
        <f>B173-C173</f>
        <v>10</v>
      </c>
    </row>
    <row r="174" spans="1:8" ht="24" customHeight="1" thickBot="1" x14ac:dyDescent="0.3">
      <c r="A174" s="82" t="s">
        <v>264</v>
      </c>
      <c r="B174" s="92">
        <v>10</v>
      </c>
      <c r="C174" s="92">
        <v>0</v>
      </c>
      <c r="D174" s="101">
        <f>B174-C174</f>
        <v>10</v>
      </c>
    </row>
    <row r="175" spans="1:8" ht="46.5" customHeight="1" thickBot="1" x14ac:dyDescent="0.3">
      <c r="A175" s="215" t="s">
        <v>323</v>
      </c>
      <c r="B175" s="215"/>
      <c r="C175" s="215"/>
      <c r="D175" s="215"/>
      <c r="E175" s="215"/>
      <c r="F175" s="215"/>
      <c r="G175" s="215"/>
      <c r="H175" s="215"/>
    </row>
    <row r="176" spans="1:8" ht="24" customHeight="1" thickBot="1" x14ac:dyDescent="0.3">
      <c r="A176" s="193" t="s">
        <v>321</v>
      </c>
      <c r="B176" s="194"/>
      <c r="C176" s="194"/>
      <c r="D176" s="195"/>
    </row>
    <row r="177" spans="1:8" ht="24" customHeight="1" thickBot="1" x14ac:dyDescent="0.3">
      <c r="A177" s="14" t="s">
        <v>3</v>
      </c>
      <c r="B177" s="15" t="s">
        <v>40</v>
      </c>
      <c r="C177" s="15" t="s">
        <v>45</v>
      </c>
      <c r="D177" s="16" t="s">
        <v>47</v>
      </c>
    </row>
    <row r="178" spans="1:8" ht="24" customHeight="1" x14ac:dyDescent="0.25">
      <c r="A178" s="83" t="s">
        <v>263</v>
      </c>
      <c r="B178" s="90">
        <v>10</v>
      </c>
      <c r="C178" s="90">
        <v>0</v>
      </c>
      <c r="D178" s="98">
        <f>B178-C178</f>
        <v>10</v>
      </c>
    </row>
    <row r="179" spans="1:8" ht="24" customHeight="1" thickBot="1" x14ac:dyDescent="0.3">
      <c r="A179" s="82" t="s">
        <v>264</v>
      </c>
      <c r="B179" s="92">
        <v>10</v>
      </c>
      <c r="C179" s="92">
        <v>0</v>
      </c>
      <c r="D179" s="101">
        <f>B179-C179</f>
        <v>10</v>
      </c>
    </row>
    <row r="180" spans="1:8" ht="24" customHeight="1" thickBot="1" x14ac:dyDescent="0.3">
      <c r="A180" s="341"/>
      <c r="B180" s="339"/>
      <c r="C180" s="339"/>
      <c r="D180" s="340"/>
    </row>
    <row r="181" spans="1:8" ht="24" customHeight="1" thickBot="1" x14ac:dyDescent="0.3">
      <c r="A181" s="200" t="s">
        <v>36</v>
      </c>
      <c r="B181" s="201"/>
      <c r="C181" s="201"/>
      <c r="D181" s="201"/>
      <c r="E181" s="201"/>
      <c r="F181" s="201"/>
      <c r="G181" s="202"/>
    </row>
    <row r="182" spans="1:8" ht="24" customHeight="1" thickBot="1" x14ac:dyDescent="0.3">
      <c r="A182" s="14" t="s">
        <v>3</v>
      </c>
      <c r="B182" s="15" t="s">
        <v>53</v>
      </c>
      <c r="C182" s="15" t="s">
        <v>54</v>
      </c>
      <c r="D182" s="15" t="s">
        <v>324</v>
      </c>
      <c r="E182" s="15" t="s">
        <v>325</v>
      </c>
      <c r="F182" s="15" t="s">
        <v>326</v>
      </c>
      <c r="G182" s="16" t="s">
        <v>16</v>
      </c>
    </row>
    <row r="183" spans="1:8" ht="24" customHeight="1" thickBot="1" x14ac:dyDescent="0.3">
      <c r="A183" s="83" t="s">
        <v>263</v>
      </c>
      <c r="B183" s="90">
        <f>D144</f>
        <v>114</v>
      </c>
      <c r="C183" s="90">
        <f>D161</f>
        <v>210</v>
      </c>
      <c r="D183" s="90">
        <f>D168</f>
        <v>85</v>
      </c>
      <c r="E183" s="90">
        <f>D173</f>
        <v>10</v>
      </c>
      <c r="F183" s="90">
        <f>D178</f>
        <v>10</v>
      </c>
      <c r="G183" s="98">
        <f>SUM(B183:F183)</f>
        <v>429</v>
      </c>
    </row>
    <row r="184" spans="1:8" ht="24" customHeight="1" thickBot="1" x14ac:dyDescent="0.3">
      <c r="A184" s="82" t="s">
        <v>264</v>
      </c>
      <c r="B184" s="92">
        <f>D145</f>
        <v>114</v>
      </c>
      <c r="C184" s="92">
        <f>D162</f>
        <v>210</v>
      </c>
      <c r="D184" s="92">
        <f>D169</f>
        <v>85</v>
      </c>
      <c r="E184" s="92">
        <f>D174</f>
        <v>10</v>
      </c>
      <c r="F184" s="92">
        <f>D179</f>
        <v>10</v>
      </c>
      <c r="G184" s="98">
        <f>SUM(B184:F184)</f>
        <v>429</v>
      </c>
    </row>
    <row r="186" spans="1:8" ht="24" customHeight="1" x14ac:dyDescent="0.25">
      <c r="A186" s="192" t="s">
        <v>126</v>
      </c>
      <c r="B186" s="192"/>
      <c r="C186" s="192"/>
      <c r="D186" s="192"/>
      <c r="E186" s="192"/>
      <c r="F186" s="192"/>
      <c r="G186" s="192"/>
      <c r="H186" s="192"/>
    </row>
    <row r="187" spans="1:8" ht="24" customHeight="1" thickBot="1" x14ac:dyDescent="0.3"/>
    <row r="188" spans="1:8" ht="24" customHeight="1" thickBot="1" x14ac:dyDescent="0.3">
      <c r="A188" s="200" t="s">
        <v>126</v>
      </c>
      <c r="B188" s="201"/>
      <c r="C188" s="201"/>
      <c r="D188" s="201"/>
      <c r="E188" s="202"/>
    </row>
    <row r="189" spans="1:8" ht="24" customHeight="1" thickBot="1" x14ac:dyDescent="0.3">
      <c r="A189" s="14" t="s">
        <v>3</v>
      </c>
      <c r="B189" s="15" t="s">
        <v>65</v>
      </c>
      <c r="C189" s="15" t="s">
        <v>66</v>
      </c>
      <c r="D189" s="15" t="s">
        <v>67</v>
      </c>
      <c r="E189" s="16" t="s">
        <v>16</v>
      </c>
    </row>
    <row r="190" spans="1:8" ht="24" customHeight="1" x14ac:dyDescent="0.25">
      <c r="A190" s="83" t="s">
        <v>263</v>
      </c>
      <c r="B190" s="90">
        <f>E94</f>
        <v>0</v>
      </c>
      <c r="C190" s="90">
        <f>D124</f>
        <v>0</v>
      </c>
      <c r="D190" s="90">
        <f>G183</f>
        <v>429</v>
      </c>
      <c r="E190" s="98">
        <f t="shared" ref="E190:E191" si="25">SUM(B190:D190)</f>
        <v>429</v>
      </c>
    </row>
    <row r="191" spans="1:8" ht="24" customHeight="1" thickBot="1" x14ac:dyDescent="0.3">
      <c r="A191" s="82" t="s">
        <v>264</v>
      </c>
      <c r="B191" s="92">
        <f>E95</f>
        <v>0</v>
      </c>
      <c r="C191" s="92">
        <f>D125</f>
        <v>0</v>
      </c>
      <c r="D191" s="92">
        <f>G184</f>
        <v>429</v>
      </c>
      <c r="E191" s="101">
        <f t="shared" si="25"/>
        <v>429</v>
      </c>
    </row>
    <row r="193" spans="1:8" ht="24" customHeight="1" x14ac:dyDescent="0.25">
      <c r="A193" s="192" t="s">
        <v>55</v>
      </c>
      <c r="B193" s="192"/>
      <c r="C193" s="192"/>
      <c r="D193" s="192"/>
      <c r="E193" s="192"/>
      <c r="F193" s="192"/>
      <c r="G193" s="192"/>
      <c r="H193" s="192"/>
    </row>
    <row r="194" spans="1:8" ht="53.25" customHeight="1" x14ac:dyDescent="0.25">
      <c r="A194" s="203" t="s">
        <v>246</v>
      </c>
      <c r="B194" s="203"/>
      <c r="C194" s="203"/>
      <c r="D194" s="203"/>
      <c r="E194" s="203"/>
      <c r="F194" s="203"/>
      <c r="G194" s="203"/>
      <c r="H194" s="203"/>
    </row>
    <row r="195" spans="1:8" ht="24" customHeight="1" thickBot="1" x14ac:dyDescent="0.3"/>
    <row r="196" spans="1:8" ht="16.5" thickBot="1" x14ac:dyDescent="0.3">
      <c r="A196" s="204" t="s">
        <v>56</v>
      </c>
      <c r="B196" s="205"/>
    </row>
    <row r="197" spans="1:8" ht="16.5" thickBot="1" x14ac:dyDescent="0.3">
      <c r="A197" s="175" t="s">
        <v>57</v>
      </c>
      <c r="B197" s="176" t="s">
        <v>2</v>
      </c>
    </row>
    <row r="198" spans="1:8" ht="31.5" x14ac:dyDescent="0.25">
      <c r="A198" s="27" t="s">
        <v>58</v>
      </c>
      <c r="B198" s="342">
        <v>0.83850000000000002</v>
      </c>
      <c r="C198" s="344" t="s">
        <v>327</v>
      </c>
      <c r="D198" s="344"/>
    </row>
    <row r="199" spans="1:8" ht="31.5" x14ac:dyDescent="0.25">
      <c r="A199" s="125" t="s">
        <v>59</v>
      </c>
      <c r="B199" s="346">
        <v>0.41930000000000001</v>
      </c>
      <c r="C199" s="345"/>
      <c r="D199" s="345"/>
    </row>
    <row r="200" spans="1:8" ht="31.5" x14ac:dyDescent="0.25">
      <c r="A200" s="125" t="s">
        <v>60</v>
      </c>
      <c r="B200" s="346">
        <v>0.41930000000000001</v>
      </c>
      <c r="C200" s="345"/>
      <c r="D200" s="345"/>
    </row>
    <row r="201" spans="1:8" ht="32.25" customHeight="1" x14ac:dyDescent="0.25">
      <c r="A201" s="24" t="s">
        <v>61</v>
      </c>
      <c r="B201" s="68">
        <v>1.737E-2</v>
      </c>
      <c r="C201" s="344" t="s">
        <v>327</v>
      </c>
      <c r="D201" s="344"/>
    </row>
    <row r="202" spans="1:8" ht="30" customHeight="1" thickBot="1" x14ac:dyDescent="0.3">
      <c r="A202" s="25" t="s">
        <v>62</v>
      </c>
      <c r="B202" s="343">
        <v>0.14407</v>
      </c>
      <c r="C202" s="344" t="s">
        <v>327</v>
      </c>
      <c r="D202" s="344"/>
    </row>
    <row r="203" spans="1:8" ht="24" customHeight="1" thickBot="1" x14ac:dyDescent="0.3">
      <c r="A203" s="175" t="s">
        <v>32</v>
      </c>
      <c r="B203" s="26">
        <f>SUM(B199:B202)</f>
        <v>1.00004</v>
      </c>
      <c r="H203" s="115"/>
    </row>
    <row r="205" spans="1:8" ht="24" customHeight="1" x14ac:dyDescent="0.25">
      <c r="A205" s="197" t="s">
        <v>63</v>
      </c>
      <c r="B205" s="198"/>
      <c r="C205" s="198"/>
      <c r="D205" s="198"/>
      <c r="E205" s="198"/>
      <c r="F205" s="198"/>
      <c r="G205" s="198"/>
      <c r="H205" s="198"/>
    </row>
    <row r="206" spans="1:8" ht="106.5" customHeight="1" x14ac:dyDescent="0.25">
      <c r="A206" s="203" t="s">
        <v>251</v>
      </c>
      <c r="B206" s="203"/>
      <c r="C206" s="203"/>
      <c r="D206" s="203"/>
      <c r="E206" s="203"/>
      <c r="F206" s="203"/>
      <c r="G206" s="203"/>
      <c r="H206" s="203"/>
    </row>
    <row r="207" spans="1:8" ht="16.5" thickBot="1" x14ac:dyDescent="0.3"/>
    <row r="208" spans="1:8" ht="24" customHeight="1" thickBot="1" x14ac:dyDescent="0.3">
      <c r="A208" s="193" t="s">
        <v>64</v>
      </c>
      <c r="B208" s="194"/>
      <c r="C208" s="194"/>
      <c r="D208" s="195"/>
    </row>
    <row r="209" spans="1:8" ht="30" customHeight="1" thickBot="1" x14ac:dyDescent="0.3">
      <c r="A209" s="14" t="s">
        <v>3</v>
      </c>
      <c r="B209" s="15" t="s">
        <v>1</v>
      </c>
      <c r="C209" s="111" t="s">
        <v>128</v>
      </c>
      <c r="D209" s="16" t="s">
        <v>4</v>
      </c>
    </row>
    <row r="210" spans="1:8" ht="24" customHeight="1" x14ac:dyDescent="0.25">
      <c r="A210" s="83" t="s">
        <v>263</v>
      </c>
      <c r="B210" s="90">
        <f>G70+(E190-D114)</f>
        <v>429</v>
      </c>
      <c r="C210" s="84">
        <v>12</v>
      </c>
      <c r="D210" s="98">
        <f>B210/C210</f>
        <v>35.75</v>
      </c>
    </row>
    <row r="211" spans="1:8" ht="24" customHeight="1" thickBot="1" x14ac:dyDescent="0.3">
      <c r="A211" s="82" t="s">
        <v>264</v>
      </c>
      <c r="B211" s="92">
        <f>G71+(E191-D115)</f>
        <v>429</v>
      </c>
      <c r="C211" s="86">
        <f>C210</f>
        <v>12</v>
      </c>
      <c r="D211" s="101">
        <f t="shared" ref="D211" si="26">B211/C211</f>
        <v>35.75</v>
      </c>
    </row>
    <row r="212" spans="1:8" ht="16.5" thickBot="1" x14ac:dyDescent="0.3"/>
    <row r="213" spans="1:8" ht="36.75" customHeight="1" thickBot="1" x14ac:dyDescent="0.3">
      <c r="A213" s="206" t="s">
        <v>68</v>
      </c>
      <c r="B213" s="207"/>
      <c r="C213" s="207"/>
      <c r="D213" s="208"/>
      <c r="E213" s="29"/>
    </row>
    <row r="214" spans="1:8" ht="28.5" customHeight="1" thickBot="1" x14ac:dyDescent="0.3">
      <c r="A214" s="14" t="s">
        <v>3</v>
      </c>
      <c r="B214" s="15" t="s">
        <v>1</v>
      </c>
      <c r="C214" s="28" t="s">
        <v>69</v>
      </c>
      <c r="D214" s="16" t="s">
        <v>4</v>
      </c>
    </row>
    <row r="215" spans="1:8" ht="24" customHeight="1" x14ac:dyDescent="0.25">
      <c r="A215" s="83" t="s">
        <v>263</v>
      </c>
      <c r="B215" s="90">
        <f>D119</f>
        <v>0</v>
      </c>
      <c r="C215" s="87">
        <v>0.5</v>
      </c>
      <c r="D215" s="98">
        <f>B215*C215</f>
        <v>0</v>
      </c>
    </row>
    <row r="216" spans="1:8" ht="24" customHeight="1" thickBot="1" x14ac:dyDescent="0.3">
      <c r="A216" s="82" t="s">
        <v>264</v>
      </c>
      <c r="B216" s="92">
        <f>D120</f>
        <v>0</v>
      </c>
      <c r="C216" s="89">
        <v>0.5</v>
      </c>
      <c r="D216" s="101">
        <f t="shared" ref="D216" si="27">B216*C216</f>
        <v>0</v>
      </c>
    </row>
    <row r="217" spans="1:8" ht="24" customHeight="1" thickBot="1" x14ac:dyDescent="0.3"/>
    <row r="218" spans="1:8" ht="24" customHeight="1" thickBot="1" x14ac:dyDescent="0.3">
      <c r="A218" s="193" t="s">
        <v>70</v>
      </c>
      <c r="B218" s="194"/>
      <c r="C218" s="194"/>
      <c r="D218" s="195"/>
    </row>
    <row r="219" spans="1:8" ht="24" customHeight="1" thickBot="1" x14ac:dyDescent="0.3">
      <c r="A219" s="14" t="s">
        <v>3</v>
      </c>
      <c r="B219" s="15" t="s">
        <v>1</v>
      </c>
      <c r="C219" s="15" t="s">
        <v>2</v>
      </c>
      <c r="D219" s="16" t="s">
        <v>4</v>
      </c>
    </row>
    <row r="220" spans="1:8" ht="24" customHeight="1" x14ac:dyDescent="0.25">
      <c r="A220" s="83" t="s">
        <v>263</v>
      </c>
      <c r="B220" s="90">
        <f>D210+D215</f>
        <v>35.75</v>
      </c>
      <c r="C220" s="103">
        <f>$B$199</f>
        <v>0.41930000000000001</v>
      </c>
      <c r="D220" s="98">
        <f>B220*C220</f>
        <v>14.989974999999999</v>
      </c>
    </row>
    <row r="221" spans="1:8" ht="24" customHeight="1" thickBot="1" x14ac:dyDescent="0.3">
      <c r="A221" s="82" t="s">
        <v>264</v>
      </c>
      <c r="B221" s="92">
        <f>D211+D216</f>
        <v>35.75</v>
      </c>
      <c r="C221" s="102">
        <f t="shared" ref="C221" si="28">$B$199</f>
        <v>0.41930000000000001</v>
      </c>
      <c r="D221" s="101">
        <f t="shared" ref="D221" si="29">B221*C221</f>
        <v>14.989974999999999</v>
      </c>
    </row>
    <row r="223" spans="1:8" ht="24" customHeight="1" x14ac:dyDescent="0.25">
      <c r="A223" s="197" t="s">
        <v>71</v>
      </c>
      <c r="B223" s="198"/>
      <c r="C223" s="198"/>
      <c r="D223" s="198"/>
      <c r="E223" s="198"/>
      <c r="F223" s="198"/>
      <c r="G223" s="198"/>
      <c r="H223" s="198"/>
    </row>
    <row r="224" spans="1:8" ht="101.25" customHeight="1" x14ac:dyDescent="0.25">
      <c r="A224" s="203" t="s">
        <v>252</v>
      </c>
      <c r="B224" s="203"/>
      <c r="C224" s="203"/>
      <c r="D224" s="203"/>
      <c r="E224" s="203"/>
      <c r="F224" s="203"/>
      <c r="G224" s="203"/>
      <c r="H224" s="203"/>
    </row>
    <row r="225" spans="1:4" ht="16.5" thickBot="1" x14ac:dyDescent="0.3"/>
    <row r="226" spans="1:4" ht="24" customHeight="1" thickBot="1" x14ac:dyDescent="0.3">
      <c r="A226" s="193" t="s">
        <v>72</v>
      </c>
      <c r="B226" s="194"/>
      <c r="C226" s="194"/>
      <c r="D226" s="195"/>
    </row>
    <row r="227" spans="1:4" ht="33" customHeight="1" thickBot="1" x14ac:dyDescent="0.3">
      <c r="A227" s="14" t="s">
        <v>3</v>
      </c>
      <c r="B227" s="15" t="s">
        <v>1</v>
      </c>
      <c r="C227" s="111" t="s">
        <v>128</v>
      </c>
      <c r="D227" s="16" t="s">
        <v>4</v>
      </c>
    </row>
    <row r="228" spans="1:4" ht="24" customHeight="1" x14ac:dyDescent="0.25">
      <c r="A228" s="83" t="s">
        <v>263</v>
      </c>
      <c r="B228" s="90">
        <f>G70+E190</f>
        <v>429</v>
      </c>
      <c r="C228" s="84">
        <v>12</v>
      </c>
      <c r="D228" s="98">
        <f>B228/C228</f>
        <v>35.75</v>
      </c>
    </row>
    <row r="229" spans="1:4" ht="24" customHeight="1" thickBot="1" x14ac:dyDescent="0.3">
      <c r="A229" s="82" t="s">
        <v>264</v>
      </c>
      <c r="B229" s="92">
        <f>G71+E191</f>
        <v>429</v>
      </c>
      <c r="C229" s="86">
        <v>12</v>
      </c>
      <c r="D229" s="101">
        <f t="shared" ref="D229" si="30">B229/C229</f>
        <v>35.75</v>
      </c>
    </row>
    <row r="230" spans="1:4" ht="16.5" thickBot="1" x14ac:dyDescent="0.3"/>
    <row r="231" spans="1:4" ht="31.5" customHeight="1" thickBot="1" x14ac:dyDescent="0.3">
      <c r="A231" s="206" t="s">
        <v>73</v>
      </c>
      <c r="B231" s="207"/>
      <c r="C231" s="207"/>
      <c r="D231" s="208"/>
    </row>
    <row r="232" spans="1:4" ht="34.5" customHeight="1" thickBot="1" x14ac:dyDescent="0.3">
      <c r="A232" s="14" t="s">
        <v>3</v>
      </c>
      <c r="B232" s="15" t="s">
        <v>1</v>
      </c>
      <c r="C232" s="28" t="s">
        <v>69</v>
      </c>
      <c r="D232" s="16" t="s">
        <v>4</v>
      </c>
    </row>
    <row r="233" spans="1:4" ht="24" customHeight="1" x14ac:dyDescent="0.25">
      <c r="A233" s="83" t="s">
        <v>263</v>
      </c>
      <c r="B233" s="90">
        <f>D119</f>
        <v>0</v>
      </c>
      <c r="C233" s="87">
        <v>0.5</v>
      </c>
      <c r="D233" s="98">
        <f>B233*C233</f>
        <v>0</v>
      </c>
    </row>
    <row r="234" spans="1:4" ht="24" customHeight="1" thickBot="1" x14ac:dyDescent="0.3">
      <c r="A234" s="82" t="s">
        <v>264</v>
      </c>
      <c r="B234" s="92">
        <f>D120</f>
        <v>0</v>
      </c>
      <c r="C234" s="89">
        <v>0.5</v>
      </c>
      <c r="D234" s="101">
        <f t="shared" ref="D234" si="31">B234*C234</f>
        <v>0</v>
      </c>
    </row>
    <row r="235" spans="1:4" ht="24" customHeight="1" thickBot="1" x14ac:dyDescent="0.3"/>
    <row r="236" spans="1:4" ht="24" customHeight="1" thickBot="1" x14ac:dyDescent="0.3">
      <c r="A236" s="193" t="s">
        <v>82</v>
      </c>
      <c r="B236" s="194"/>
      <c r="C236" s="194"/>
      <c r="D236" s="195"/>
    </row>
    <row r="237" spans="1:4" ht="24" customHeight="1" thickBot="1" x14ac:dyDescent="0.3">
      <c r="A237" s="14" t="s">
        <v>3</v>
      </c>
      <c r="B237" s="15" t="s">
        <v>1</v>
      </c>
      <c r="C237" s="15" t="s">
        <v>2</v>
      </c>
      <c r="D237" s="16" t="s">
        <v>4</v>
      </c>
    </row>
    <row r="238" spans="1:4" ht="24" customHeight="1" x14ac:dyDescent="0.25">
      <c r="A238" s="83" t="s">
        <v>263</v>
      </c>
      <c r="B238" s="90">
        <f>D228+D233</f>
        <v>35.75</v>
      </c>
      <c r="C238" s="103">
        <f>$B$200</f>
        <v>0.41930000000000001</v>
      </c>
      <c r="D238" s="98">
        <f>B238*C238</f>
        <v>14.989974999999999</v>
      </c>
    </row>
    <row r="239" spans="1:4" ht="24" customHeight="1" thickBot="1" x14ac:dyDescent="0.3">
      <c r="A239" s="82" t="s">
        <v>264</v>
      </c>
      <c r="B239" s="92">
        <f>D229+D234</f>
        <v>35.75</v>
      </c>
      <c r="C239" s="102">
        <f t="shared" ref="C239" si="32">$B$200</f>
        <v>0.41930000000000001</v>
      </c>
      <c r="D239" s="101">
        <f t="shared" ref="D239" si="33">B239*C239</f>
        <v>14.989974999999999</v>
      </c>
    </row>
    <row r="241" spans="1:8" ht="24" customHeight="1" x14ac:dyDescent="0.25">
      <c r="A241" s="197" t="s">
        <v>74</v>
      </c>
      <c r="B241" s="198"/>
      <c r="C241" s="198"/>
      <c r="D241" s="198"/>
      <c r="E241" s="198"/>
      <c r="F241" s="198"/>
      <c r="G241" s="198"/>
      <c r="H241" s="198"/>
    </row>
    <row r="242" spans="1:8" ht="75" customHeight="1" x14ac:dyDescent="0.25">
      <c r="A242" s="209" t="s">
        <v>253</v>
      </c>
      <c r="B242" s="209"/>
      <c r="C242" s="209"/>
      <c r="D242" s="209"/>
      <c r="E242" s="209"/>
      <c r="F242" s="209"/>
      <c r="G242" s="209"/>
      <c r="H242" s="209"/>
    </row>
    <row r="243" spans="1:8" ht="20.25" customHeight="1" thickBot="1" x14ac:dyDescent="0.3"/>
    <row r="244" spans="1:8" ht="24" customHeight="1" thickBot="1" x14ac:dyDescent="0.3">
      <c r="A244" s="200" t="s">
        <v>77</v>
      </c>
      <c r="B244" s="201"/>
      <c r="C244" s="201"/>
      <c r="D244" s="201"/>
      <c r="E244" s="202"/>
    </row>
    <row r="245" spans="1:8" ht="72" customHeight="1" thickBot="1" x14ac:dyDescent="0.3">
      <c r="A245" s="14" t="s">
        <v>3</v>
      </c>
      <c r="B245" s="111" t="s">
        <v>127</v>
      </c>
      <c r="C245" s="111" t="s">
        <v>76</v>
      </c>
      <c r="D245" s="111" t="s">
        <v>75</v>
      </c>
      <c r="E245" s="16" t="s">
        <v>4</v>
      </c>
    </row>
    <row r="246" spans="1:8" ht="24" customHeight="1" x14ac:dyDescent="0.25">
      <c r="A246" s="83" t="s">
        <v>263</v>
      </c>
      <c r="B246" s="33">
        <f>-D79</f>
        <v>0</v>
      </c>
      <c r="C246" s="33">
        <f>-D84</f>
        <v>0</v>
      </c>
      <c r="D246" s="33">
        <f>-E89</f>
        <v>0</v>
      </c>
      <c r="E246" s="34">
        <f t="shared" ref="E246:E247" si="34">SUM(B246:D246)</f>
        <v>0</v>
      </c>
    </row>
    <row r="247" spans="1:8" ht="24" customHeight="1" thickBot="1" x14ac:dyDescent="0.3">
      <c r="A247" s="82" t="s">
        <v>264</v>
      </c>
      <c r="B247" s="31">
        <f>-D80</f>
        <v>0</v>
      </c>
      <c r="C247" s="31">
        <f>-D85</f>
        <v>0</v>
      </c>
      <c r="D247" s="31">
        <f>-E90</f>
        <v>0</v>
      </c>
      <c r="E247" s="32">
        <f t="shared" si="34"/>
        <v>0</v>
      </c>
    </row>
    <row r="248" spans="1:8" ht="24" customHeight="1" thickBot="1" x14ac:dyDescent="0.3"/>
    <row r="249" spans="1:8" ht="24" customHeight="1" thickBot="1" x14ac:dyDescent="0.3">
      <c r="A249" s="193" t="s">
        <v>78</v>
      </c>
      <c r="B249" s="194"/>
      <c r="C249" s="194"/>
      <c r="D249" s="195"/>
    </row>
    <row r="250" spans="1:8" ht="24" customHeight="1" thickBot="1" x14ac:dyDescent="0.3">
      <c r="A250" s="14" t="s">
        <v>3</v>
      </c>
      <c r="B250" s="15" t="s">
        <v>8</v>
      </c>
      <c r="C250" s="15" t="s">
        <v>2</v>
      </c>
      <c r="D250" s="16" t="s">
        <v>4</v>
      </c>
    </row>
    <row r="251" spans="1:8" ht="24" customHeight="1" x14ac:dyDescent="0.25">
      <c r="A251" s="83" t="s">
        <v>263</v>
      </c>
      <c r="B251" s="33">
        <f>E246</f>
        <v>0</v>
      </c>
      <c r="C251" s="103">
        <f>$B$201</f>
        <v>1.737E-2</v>
      </c>
      <c r="D251" s="34">
        <f>B251*C251</f>
        <v>0</v>
      </c>
    </row>
    <row r="252" spans="1:8" ht="24" customHeight="1" thickBot="1" x14ac:dyDescent="0.3">
      <c r="A252" s="82" t="s">
        <v>264</v>
      </c>
      <c r="B252" s="31">
        <f>E247</f>
        <v>0</v>
      </c>
      <c r="C252" s="102">
        <f t="shared" ref="C252" si="35">$B$201</f>
        <v>1.737E-2</v>
      </c>
      <c r="D252" s="32">
        <f t="shared" ref="D252" si="36">B252*C252</f>
        <v>0</v>
      </c>
    </row>
    <row r="254" spans="1:8" ht="24" customHeight="1" x14ac:dyDescent="0.25">
      <c r="A254" s="192" t="s">
        <v>55</v>
      </c>
      <c r="B254" s="192"/>
      <c r="C254" s="192"/>
      <c r="D254" s="192"/>
      <c r="E254" s="192"/>
      <c r="F254" s="192"/>
      <c r="G254" s="192"/>
      <c r="H254" s="192"/>
    </row>
    <row r="255" spans="1:8" ht="24" customHeight="1" thickBot="1" x14ac:dyDescent="0.3"/>
    <row r="256" spans="1:8" ht="24" customHeight="1" thickBot="1" x14ac:dyDescent="0.3">
      <c r="A256" s="200" t="s">
        <v>55</v>
      </c>
      <c r="B256" s="201"/>
      <c r="C256" s="201"/>
      <c r="D256" s="201"/>
      <c r="E256" s="202"/>
    </row>
    <row r="257" spans="1:8" ht="24" customHeight="1" thickBot="1" x14ac:dyDescent="0.3">
      <c r="A257" s="14" t="s">
        <v>3</v>
      </c>
      <c r="B257" s="15" t="s">
        <v>79</v>
      </c>
      <c r="C257" s="15" t="s">
        <v>80</v>
      </c>
      <c r="D257" s="15" t="s">
        <v>81</v>
      </c>
      <c r="E257" s="16" t="s">
        <v>16</v>
      </c>
    </row>
    <row r="258" spans="1:8" ht="24" customHeight="1" x14ac:dyDescent="0.25">
      <c r="A258" s="83" t="s">
        <v>263</v>
      </c>
      <c r="B258" s="72">
        <f>D220</f>
        <v>14.989974999999999</v>
      </c>
      <c r="C258" s="72">
        <f>D238</f>
        <v>14.989974999999999</v>
      </c>
      <c r="D258" s="73">
        <f>D251</f>
        <v>0</v>
      </c>
      <c r="E258" s="74">
        <f t="shared" ref="E258:E259" si="37">SUM(B258:D258)</f>
        <v>29.979949999999999</v>
      </c>
    </row>
    <row r="259" spans="1:8" ht="24" customHeight="1" thickBot="1" x14ac:dyDescent="0.3">
      <c r="A259" s="82" t="s">
        <v>264</v>
      </c>
      <c r="B259" s="75">
        <f>D221</f>
        <v>14.989974999999999</v>
      </c>
      <c r="C259" s="75">
        <f>D239</f>
        <v>14.989974999999999</v>
      </c>
      <c r="D259" s="76">
        <f>D252</f>
        <v>0</v>
      </c>
      <c r="E259" s="77">
        <f t="shared" si="37"/>
        <v>29.979949999999999</v>
      </c>
    </row>
    <row r="261" spans="1:8" ht="24" customHeight="1" x14ac:dyDescent="0.25">
      <c r="A261" s="192" t="s">
        <v>83</v>
      </c>
      <c r="B261" s="192"/>
      <c r="C261" s="192"/>
      <c r="D261" s="192"/>
      <c r="E261" s="192"/>
      <c r="F261" s="192"/>
      <c r="G261" s="192"/>
      <c r="H261" s="192"/>
    </row>
    <row r="262" spans="1:8" ht="144" customHeight="1" x14ac:dyDescent="0.25">
      <c r="A262" s="203" t="s">
        <v>243</v>
      </c>
      <c r="B262" s="203"/>
      <c r="C262" s="203"/>
      <c r="D262" s="203"/>
      <c r="E262" s="203"/>
      <c r="F262" s="203"/>
      <c r="G262" s="203"/>
      <c r="H262" s="203"/>
    </row>
    <row r="263" spans="1:8" ht="24" customHeight="1" thickBot="1" x14ac:dyDescent="0.3"/>
    <row r="264" spans="1:8" ht="24" customHeight="1" thickBot="1" x14ac:dyDescent="0.3">
      <c r="A264" s="206" t="s">
        <v>146</v>
      </c>
      <c r="B264" s="207"/>
      <c r="C264" s="207"/>
      <c r="D264" s="207"/>
      <c r="E264" s="207"/>
      <c r="F264" s="207"/>
      <c r="G264" s="208"/>
    </row>
    <row r="265" spans="1:8" ht="16.5" thickBot="1" x14ac:dyDescent="0.3">
      <c r="A265" s="206" t="s">
        <v>87</v>
      </c>
      <c r="B265" s="207"/>
      <c r="C265" s="207"/>
      <c r="D265" s="207"/>
      <c r="E265" s="207"/>
      <c r="F265" s="207"/>
      <c r="G265" s="208"/>
    </row>
    <row r="266" spans="1:8" ht="24" customHeight="1" thickBot="1" x14ac:dyDescent="0.3">
      <c r="A266" s="210" t="s">
        <v>3</v>
      </c>
      <c r="B266" s="210" t="s">
        <v>88</v>
      </c>
      <c r="C266" s="210" t="s">
        <v>89</v>
      </c>
      <c r="D266" s="117" t="s">
        <v>90</v>
      </c>
      <c r="E266" s="118"/>
    </row>
    <row r="267" spans="1:8" ht="31.5" customHeight="1" thickBot="1" x14ac:dyDescent="0.3">
      <c r="A267" s="211"/>
      <c r="B267" s="211"/>
      <c r="C267" s="211"/>
      <c r="D267" s="57" t="s">
        <v>91</v>
      </c>
      <c r="E267" s="57" t="s">
        <v>92</v>
      </c>
    </row>
    <row r="268" spans="1:8" ht="24" customHeight="1" x14ac:dyDescent="0.25">
      <c r="A268" s="42" t="s">
        <v>20</v>
      </c>
      <c r="B268" s="70">
        <v>1</v>
      </c>
      <c r="C268" s="43">
        <v>30</v>
      </c>
      <c r="D268" s="45">
        <f>(252/365)</f>
        <v>0.69041095890410964</v>
      </c>
      <c r="E268" s="44">
        <f>(B268*C268)*D268</f>
        <v>20.712328767123289</v>
      </c>
    </row>
    <row r="269" spans="1:8" ht="24" customHeight="1" x14ac:dyDescent="0.25">
      <c r="A269" s="24" t="s">
        <v>93</v>
      </c>
      <c r="B269" s="70">
        <v>1</v>
      </c>
      <c r="C269" s="47">
        <v>1</v>
      </c>
      <c r="D269" s="49">
        <v>1</v>
      </c>
      <c r="E269" s="48">
        <f>(B269*C269)*D269</f>
        <v>1</v>
      </c>
    </row>
    <row r="270" spans="1:8" ht="24" customHeight="1" x14ac:dyDescent="0.25">
      <c r="A270" s="24" t="s">
        <v>94</v>
      </c>
      <c r="B270" s="70">
        <v>9.2200000000000004E-2</v>
      </c>
      <c r="C270" s="47">
        <v>15</v>
      </c>
      <c r="D270" s="49">
        <f>(252/365)</f>
        <v>0.69041095890410964</v>
      </c>
      <c r="E270" s="48">
        <f>(B270*C270)*D270</f>
        <v>0.95483835616438362</v>
      </c>
    </row>
    <row r="271" spans="1:8" ht="24" customHeight="1" x14ac:dyDescent="0.25">
      <c r="A271" s="24" t="s">
        <v>95</v>
      </c>
      <c r="B271" s="70">
        <v>1</v>
      </c>
      <c r="C271" s="47">
        <v>5</v>
      </c>
      <c r="D271" s="49">
        <f>(252/365)</f>
        <v>0.69041095890410964</v>
      </c>
      <c r="E271" s="48">
        <f>(B271*C271)*D271</f>
        <v>3.4520547945205484</v>
      </c>
    </row>
    <row r="272" spans="1:8" ht="24" customHeight="1" x14ac:dyDescent="0.25">
      <c r="A272" s="24" t="s">
        <v>96</v>
      </c>
      <c r="B272" s="70">
        <v>0.1522</v>
      </c>
      <c r="C272" s="47">
        <v>2</v>
      </c>
      <c r="D272" s="49">
        <v>1</v>
      </c>
      <c r="E272" s="48">
        <f>(B272*C272)*D272</f>
        <v>0.3044</v>
      </c>
    </row>
    <row r="273" spans="1:5" ht="24" customHeight="1" x14ac:dyDescent="0.25">
      <c r="A273" s="24" t="s">
        <v>97</v>
      </c>
      <c r="B273" s="70">
        <v>3.09E-2</v>
      </c>
      <c r="C273" s="47">
        <v>2</v>
      </c>
      <c r="D273" s="49">
        <f>(252/365)</f>
        <v>0.69041095890410964</v>
      </c>
      <c r="E273" s="48">
        <f>(B273*C273)*D273</f>
        <v>4.2667397260273979E-2</v>
      </c>
    </row>
    <row r="274" spans="1:5" ht="24" customHeight="1" x14ac:dyDescent="0.25">
      <c r="A274" s="24" t="s">
        <v>98</v>
      </c>
      <c r="B274" s="70">
        <v>1.23E-2</v>
      </c>
      <c r="C274" s="47">
        <v>3</v>
      </c>
      <c r="D274" s="49">
        <v>1</v>
      </c>
      <c r="E274" s="48">
        <f>(B274*C274)*D274</f>
        <v>3.6900000000000002E-2</v>
      </c>
    </row>
    <row r="275" spans="1:5" ht="24" customHeight="1" x14ac:dyDescent="0.25">
      <c r="A275" s="24" t="s">
        <v>99</v>
      </c>
      <c r="B275" s="70">
        <v>0.02</v>
      </c>
      <c r="C275" s="47">
        <v>1</v>
      </c>
      <c r="D275" s="49">
        <v>1</v>
      </c>
      <c r="E275" s="48">
        <f>(B275*C275)*D275</f>
        <v>0.02</v>
      </c>
    </row>
    <row r="276" spans="1:5" ht="24" customHeight="1" x14ac:dyDescent="0.25">
      <c r="A276" s="24" t="s">
        <v>100</v>
      </c>
      <c r="B276" s="70">
        <v>4.0000000000000001E-3</v>
      </c>
      <c r="C276" s="47">
        <v>1</v>
      </c>
      <c r="D276" s="49">
        <v>1</v>
      </c>
      <c r="E276" s="48">
        <f>(B276*C276)*D276</f>
        <v>4.0000000000000001E-3</v>
      </c>
    </row>
    <row r="277" spans="1:5" ht="24" customHeight="1" x14ac:dyDescent="0.25">
      <c r="A277" s="24" t="s">
        <v>101</v>
      </c>
      <c r="B277" s="70">
        <v>1.37E-2</v>
      </c>
      <c r="C277" s="47">
        <v>20</v>
      </c>
      <c r="D277" s="49">
        <f>(252/365)</f>
        <v>0.69041095890410964</v>
      </c>
      <c r="E277" s="48">
        <f>(B277*C277)*D277</f>
        <v>0.18917260273972605</v>
      </c>
    </row>
    <row r="278" spans="1:5" ht="24" customHeight="1" x14ac:dyDescent="0.25">
      <c r="A278" s="24" t="s">
        <v>102</v>
      </c>
      <c r="B278" s="70">
        <v>1.9900000000000001E-2</v>
      </c>
      <c r="C278" s="47">
        <v>180</v>
      </c>
      <c r="D278" s="49">
        <f>(252/365)</f>
        <v>0.69041095890410964</v>
      </c>
      <c r="E278" s="48">
        <f>(B278*C278)*D278</f>
        <v>2.4730520547945209</v>
      </c>
    </row>
    <row r="279" spans="1:5" ht="24" customHeight="1" thickBot="1" x14ac:dyDescent="0.3">
      <c r="A279" s="50" t="s">
        <v>103</v>
      </c>
      <c r="B279" s="71">
        <v>3.1015589449665264E-4</v>
      </c>
      <c r="C279" s="51">
        <v>6</v>
      </c>
      <c r="D279" s="53">
        <v>1</v>
      </c>
      <c r="E279" s="52">
        <f>(B279*C279)*D279</f>
        <v>1.8609353669799158E-3</v>
      </c>
    </row>
    <row r="280" spans="1:5" ht="24" customHeight="1" thickBot="1" x14ac:dyDescent="0.3"/>
    <row r="281" spans="1:5" ht="24" customHeight="1" thickBot="1" x14ac:dyDescent="0.3">
      <c r="A281" s="196" t="s">
        <v>107</v>
      </c>
      <c r="B281" s="216"/>
      <c r="C281" s="216"/>
      <c r="D281" s="217"/>
    </row>
    <row r="282" spans="1:5" ht="24" customHeight="1" thickBot="1" x14ac:dyDescent="0.3">
      <c r="A282" s="218" t="s">
        <v>104</v>
      </c>
      <c r="B282" s="347" t="s">
        <v>328</v>
      </c>
      <c r="C282" s="347"/>
      <c r="D282" s="348"/>
    </row>
    <row r="283" spans="1:5" ht="26.25" customHeight="1" thickBot="1" x14ac:dyDescent="0.3">
      <c r="A283" s="219"/>
      <c r="B283" s="179" t="s">
        <v>329</v>
      </c>
      <c r="C283" s="182" t="s">
        <v>329</v>
      </c>
      <c r="D283" s="183" t="s">
        <v>105</v>
      </c>
    </row>
    <row r="284" spans="1:5" ht="24" customHeight="1" x14ac:dyDescent="0.25">
      <c r="A284" s="42" t="s">
        <v>20</v>
      </c>
      <c r="B284" s="349" t="s">
        <v>329</v>
      </c>
      <c r="C284" s="349" t="s">
        <v>329</v>
      </c>
      <c r="D284" s="350">
        <f>E268</f>
        <v>20.712328767123289</v>
      </c>
    </row>
    <row r="285" spans="1:5" ht="24" customHeight="1" x14ac:dyDescent="0.25">
      <c r="A285" s="24" t="s">
        <v>93</v>
      </c>
      <c r="B285" s="46" t="s">
        <v>329</v>
      </c>
      <c r="C285" s="46" t="s">
        <v>329</v>
      </c>
      <c r="D285" s="54">
        <f>E269</f>
        <v>1</v>
      </c>
    </row>
    <row r="286" spans="1:5" ht="24" customHeight="1" x14ac:dyDescent="0.25">
      <c r="A286" s="24" t="s">
        <v>94</v>
      </c>
      <c r="B286" s="46" t="s">
        <v>329</v>
      </c>
      <c r="C286" s="46" t="s">
        <v>329</v>
      </c>
      <c r="D286" s="54">
        <f>E270</f>
        <v>0.95483835616438362</v>
      </c>
    </row>
    <row r="287" spans="1:5" ht="24" customHeight="1" x14ac:dyDescent="0.25">
      <c r="A287" s="24" t="s">
        <v>95</v>
      </c>
      <c r="B287" s="46" t="s">
        <v>329</v>
      </c>
      <c r="C287" s="46" t="s">
        <v>329</v>
      </c>
      <c r="D287" s="54">
        <f>E271</f>
        <v>3.4520547945205484</v>
      </c>
    </row>
    <row r="288" spans="1:5" ht="24" customHeight="1" x14ac:dyDescent="0.25">
      <c r="A288" s="24" t="s">
        <v>96</v>
      </c>
      <c r="B288" s="46" t="s">
        <v>329</v>
      </c>
      <c r="C288" s="46" t="s">
        <v>329</v>
      </c>
      <c r="D288" s="54">
        <f>E272</f>
        <v>0.3044</v>
      </c>
    </row>
    <row r="289" spans="1:8" ht="24" customHeight="1" x14ac:dyDescent="0.25">
      <c r="A289" s="24" t="s">
        <v>97</v>
      </c>
      <c r="B289" s="46" t="s">
        <v>329</v>
      </c>
      <c r="C289" s="46" t="s">
        <v>329</v>
      </c>
      <c r="D289" s="54">
        <f>E273</f>
        <v>4.2667397260273979E-2</v>
      </c>
    </row>
    <row r="290" spans="1:8" ht="24" customHeight="1" x14ac:dyDescent="0.25">
      <c r="A290" s="24" t="s">
        <v>98</v>
      </c>
      <c r="B290" s="46" t="s">
        <v>329</v>
      </c>
      <c r="C290" s="46" t="s">
        <v>329</v>
      </c>
      <c r="D290" s="54">
        <f>E274</f>
        <v>3.6900000000000002E-2</v>
      </c>
    </row>
    <row r="291" spans="1:8" ht="24" customHeight="1" x14ac:dyDescent="0.25">
      <c r="A291" s="24" t="s">
        <v>99</v>
      </c>
      <c r="B291" s="46" t="s">
        <v>329</v>
      </c>
      <c r="C291" s="46" t="s">
        <v>329</v>
      </c>
      <c r="D291" s="54">
        <f>E275</f>
        <v>0.02</v>
      </c>
    </row>
    <row r="292" spans="1:8" ht="24" customHeight="1" x14ac:dyDescent="0.25">
      <c r="A292" s="24" t="s">
        <v>100</v>
      </c>
      <c r="B292" s="46" t="s">
        <v>329</v>
      </c>
      <c r="C292" s="46" t="s">
        <v>329</v>
      </c>
      <c r="D292" s="54">
        <f>E276</f>
        <v>4.0000000000000001E-3</v>
      </c>
    </row>
    <row r="293" spans="1:8" ht="24" customHeight="1" x14ac:dyDescent="0.25">
      <c r="A293" s="24" t="s">
        <v>101</v>
      </c>
      <c r="B293" s="46" t="s">
        <v>329</v>
      </c>
      <c r="C293" s="46" t="s">
        <v>329</v>
      </c>
      <c r="D293" s="54">
        <f>E277</f>
        <v>0.18917260273972605</v>
      </c>
    </row>
    <row r="294" spans="1:8" ht="24" customHeight="1" x14ac:dyDescent="0.25">
      <c r="A294" s="24" t="s">
        <v>102</v>
      </c>
      <c r="B294" s="46" t="s">
        <v>329</v>
      </c>
      <c r="C294" s="46" t="s">
        <v>329</v>
      </c>
      <c r="D294" s="54">
        <f>E278</f>
        <v>2.4730520547945209</v>
      </c>
    </row>
    <row r="295" spans="1:8" ht="24" customHeight="1" thickBot="1" x14ac:dyDescent="0.3">
      <c r="A295" s="25" t="s">
        <v>103</v>
      </c>
      <c r="B295" s="46" t="s">
        <v>329</v>
      </c>
      <c r="C295" s="46" t="s">
        <v>329</v>
      </c>
      <c r="D295" s="55">
        <f>E279</f>
        <v>1.8609353669799158E-3</v>
      </c>
    </row>
    <row r="296" spans="1:8" ht="24" customHeight="1" thickBot="1" x14ac:dyDescent="0.3">
      <c r="A296" s="58" t="s">
        <v>106</v>
      </c>
      <c r="B296" s="59">
        <f>SUM(B284:B295)</f>
        <v>0</v>
      </c>
      <c r="C296" s="59">
        <f>SUM(C284:C295)</f>
        <v>0</v>
      </c>
      <c r="D296" s="60">
        <f>SUM(D284:D295)</f>
        <v>29.191274907969728</v>
      </c>
      <c r="H296" s="115"/>
    </row>
    <row r="298" spans="1:8" ht="24" customHeight="1" x14ac:dyDescent="0.25">
      <c r="A298" s="197" t="s">
        <v>111</v>
      </c>
      <c r="B298" s="198"/>
      <c r="C298" s="198"/>
      <c r="D298" s="198"/>
      <c r="E298" s="198"/>
      <c r="F298" s="198"/>
      <c r="G298" s="198"/>
      <c r="H298" s="198"/>
    </row>
    <row r="299" spans="1:8" ht="78" customHeight="1" x14ac:dyDescent="0.25">
      <c r="A299" s="203" t="s">
        <v>254</v>
      </c>
      <c r="B299" s="203"/>
      <c r="C299" s="203"/>
      <c r="D299" s="203"/>
      <c r="E299" s="203"/>
      <c r="F299" s="203"/>
      <c r="G299" s="203"/>
      <c r="H299" s="203"/>
    </row>
    <row r="300" spans="1:8" ht="24" customHeight="1" thickBot="1" x14ac:dyDescent="0.3"/>
    <row r="301" spans="1:8" ht="24" customHeight="1" thickBot="1" x14ac:dyDescent="0.3">
      <c r="A301" s="193" t="s">
        <v>86</v>
      </c>
      <c r="B301" s="194"/>
      <c r="C301" s="194"/>
      <c r="D301" s="195"/>
    </row>
    <row r="302" spans="1:8" ht="24" customHeight="1" thickBot="1" x14ac:dyDescent="0.3">
      <c r="A302" s="14" t="s">
        <v>3</v>
      </c>
      <c r="B302" s="15" t="s">
        <v>1</v>
      </c>
      <c r="C302" s="15" t="s">
        <v>85</v>
      </c>
      <c r="D302" s="16" t="s">
        <v>84</v>
      </c>
    </row>
    <row r="303" spans="1:8" ht="24" customHeight="1" x14ac:dyDescent="0.25">
      <c r="A303" s="83" t="s">
        <v>263</v>
      </c>
      <c r="B303" s="90">
        <f>G70+E190+E258</f>
        <v>458.97994999999997</v>
      </c>
      <c r="C303" s="21">
        <v>30</v>
      </c>
      <c r="D303" s="98">
        <f>B303/C303</f>
        <v>15.299331666666665</v>
      </c>
    </row>
    <row r="304" spans="1:8" ht="24" customHeight="1" thickBot="1" x14ac:dyDescent="0.3">
      <c r="A304" s="82" t="s">
        <v>264</v>
      </c>
      <c r="B304" s="92">
        <f>G71+E191+E259</f>
        <v>458.97994999999997</v>
      </c>
      <c r="C304" s="22">
        <f>C303</f>
        <v>30</v>
      </c>
      <c r="D304" s="101">
        <f t="shared" ref="D304" si="38">B304/C304</f>
        <v>15.299331666666665</v>
      </c>
    </row>
    <row r="305" spans="1:8" ht="16.5" thickBot="1" x14ac:dyDescent="0.3"/>
    <row r="306" spans="1:8" ht="24" customHeight="1" thickBot="1" x14ac:dyDescent="0.3">
      <c r="A306" s="206" t="s">
        <v>111</v>
      </c>
      <c r="B306" s="207"/>
      <c r="C306" s="207"/>
      <c r="D306" s="207"/>
      <c r="E306" s="208"/>
    </row>
    <row r="307" spans="1:8" ht="33.75" customHeight="1" thickBot="1" x14ac:dyDescent="0.3">
      <c r="A307" s="14" t="s">
        <v>3</v>
      </c>
      <c r="B307" s="15" t="s">
        <v>84</v>
      </c>
      <c r="C307" s="17" t="s">
        <v>108</v>
      </c>
      <c r="D307" s="15" t="s">
        <v>109</v>
      </c>
      <c r="E307" s="16" t="s">
        <v>110</v>
      </c>
    </row>
    <row r="308" spans="1:8" ht="24" customHeight="1" x14ac:dyDescent="0.25">
      <c r="A308" s="83" t="s">
        <v>263</v>
      </c>
      <c r="B308" s="90">
        <f>D303</f>
        <v>15.299331666666665</v>
      </c>
      <c r="C308" s="62">
        <f>D296</f>
        <v>29.191274907969728</v>
      </c>
      <c r="D308" s="90">
        <f>B308*C308</f>
        <v>446.60699658987329</v>
      </c>
      <c r="E308" s="98">
        <f t="shared" ref="E308:E309" si="39">D308/12</f>
        <v>37.217249715822774</v>
      </c>
    </row>
    <row r="309" spans="1:8" ht="24" customHeight="1" thickBot="1" x14ac:dyDescent="0.3">
      <c r="A309" s="82" t="s">
        <v>264</v>
      </c>
      <c r="B309" s="92">
        <f>D304</f>
        <v>15.299331666666665</v>
      </c>
      <c r="C309" s="61">
        <f>D296</f>
        <v>29.191274907969728</v>
      </c>
      <c r="D309" s="92">
        <f t="shared" ref="D309" si="40">B309*C309</f>
        <v>446.60699658987329</v>
      </c>
      <c r="E309" s="101">
        <f t="shared" si="39"/>
        <v>37.217249715822774</v>
      </c>
    </row>
    <row r="312" spans="1:8" ht="24" customHeight="1" x14ac:dyDescent="0.25">
      <c r="A312" s="192" t="s">
        <v>83</v>
      </c>
      <c r="B312" s="192"/>
      <c r="C312" s="192"/>
      <c r="D312" s="192"/>
      <c r="E312" s="192"/>
      <c r="F312" s="192"/>
      <c r="G312" s="192"/>
      <c r="H312" s="192"/>
    </row>
    <row r="313" spans="1:8" ht="24" customHeight="1" thickBot="1" x14ac:dyDescent="0.3"/>
    <row r="314" spans="1:8" ht="24" customHeight="1" thickBot="1" x14ac:dyDescent="0.3">
      <c r="A314" s="193" t="s">
        <v>83</v>
      </c>
      <c r="B314" s="194"/>
      <c r="C314" s="194"/>
      <c r="D314" s="195"/>
    </row>
    <row r="315" spans="1:8" ht="24" customHeight="1" thickBot="1" x14ac:dyDescent="0.3">
      <c r="A315" s="14" t="s">
        <v>3</v>
      </c>
      <c r="B315" s="15" t="s">
        <v>112</v>
      </c>
      <c r="C315" s="15" t="s">
        <v>329</v>
      </c>
      <c r="D315" s="16" t="s">
        <v>16</v>
      </c>
    </row>
    <row r="316" spans="1:8" ht="24" customHeight="1" x14ac:dyDescent="0.25">
      <c r="A316" s="83" t="s">
        <v>263</v>
      </c>
      <c r="B316" s="90">
        <f>E308</f>
        <v>37.217249715822774</v>
      </c>
      <c r="C316" s="90" t="s">
        <v>329</v>
      </c>
      <c r="D316" s="98">
        <f>B316</f>
        <v>37.217249715822774</v>
      </c>
    </row>
    <row r="317" spans="1:8" ht="24" customHeight="1" thickBot="1" x14ac:dyDescent="0.3">
      <c r="A317" s="82" t="s">
        <v>264</v>
      </c>
      <c r="B317" s="92">
        <f>E309</f>
        <v>37.217249715822774</v>
      </c>
      <c r="C317" s="92" t="s">
        <v>329</v>
      </c>
      <c r="D317" s="101">
        <f>B317</f>
        <v>37.217249715822774</v>
      </c>
    </row>
    <row r="319" spans="1:8" ht="24" customHeight="1" x14ac:dyDescent="0.25">
      <c r="A319" s="192" t="s">
        <v>113</v>
      </c>
      <c r="B319" s="192"/>
      <c r="C319" s="192"/>
      <c r="D319" s="192"/>
      <c r="E319" s="192"/>
      <c r="F319" s="192"/>
      <c r="G319" s="192"/>
      <c r="H319" s="192"/>
    </row>
    <row r="320" spans="1:8" ht="24" customHeight="1" thickBot="1" x14ac:dyDescent="0.3">
      <c r="A320" s="119"/>
      <c r="B320" s="119"/>
      <c r="C320" s="119"/>
      <c r="E320" s="119"/>
    </row>
    <row r="321" spans="1:5" ht="24" customHeight="1" thickBot="1" x14ac:dyDescent="0.3">
      <c r="A321" s="189" t="s">
        <v>153</v>
      </c>
      <c r="B321" s="190"/>
      <c r="C321" s="190"/>
      <c r="D321" s="191"/>
      <c r="E321" s="132"/>
    </row>
    <row r="322" spans="1:5" ht="24" customHeight="1" thickBot="1" x14ac:dyDescent="0.3">
      <c r="A322" s="133" t="s">
        <v>154</v>
      </c>
      <c r="B322" s="134" t="s">
        <v>155</v>
      </c>
      <c r="C322" s="134" t="s">
        <v>156</v>
      </c>
      <c r="D322" s="178" t="s">
        <v>4</v>
      </c>
    </row>
    <row r="323" spans="1:5" ht="24" customHeight="1" x14ac:dyDescent="0.25">
      <c r="A323" s="354" t="s">
        <v>157</v>
      </c>
      <c r="B323" s="355">
        <v>2</v>
      </c>
      <c r="C323" s="356"/>
      <c r="D323" s="357">
        <f t="shared" ref="D323:D330" si="41">C323*B323</f>
        <v>0</v>
      </c>
    </row>
    <row r="324" spans="1:5" ht="24" customHeight="1" x14ac:dyDescent="0.25">
      <c r="A324" s="135" t="s">
        <v>158</v>
      </c>
      <c r="B324" s="136">
        <v>2</v>
      </c>
      <c r="C324" s="358"/>
      <c r="D324" s="359">
        <f t="shared" si="41"/>
        <v>0</v>
      </c>
    </row>
    <row r="325" spans="1:5" ht="24" customHeight="1" x14ac:dyDescent="0.25">
      <c r="A325" s="135" t="s">
        <v>330</v>
      </c>
      <c r="B325" s="136">
        <v>1</v>
      </c>
      <c r="C325" s="358"/>
      <c r="D325" s="359">
        <f t="shared" si="41"/>
        <v>0</v>
      </c>
    </row>
    <row r="326" spans="1:5" ht="24" customHeight="1" x14ac:dyDescent="0.25">
      <c r="A326" s="135" t="s">
        <v>331</v>
      </c>
      <c r="B326" s="136">
        <v>0</v>
      </c>
      <c r="C326" s="360"/>
      <c r="D326" s="359" t="s">
        <v>329</v>
      </c>
    </row>
    <row r="327" spans="1:5" ht="24" customHeight="1" x14ac:dyDescent="0.25">
      <c r="A327" s="135" t="s">
        <v>332</v>
      </c>
      <c r="B327" s="136">
        <v>0</v>
      </c>
      <c r="C327" s="360"/>
      <c r="D327" s="359" t="s">
        <v>329</v>
      </c>
    </row>
    <row r="328" spans="1:5" ht="24" customHeight="1" x14ac:dyDescent="0.25">
      <c r="A328" s="135" t="s">
        <v>333</v>
      </c>
      <c r="B328" s="136">
        <v>2</v>
      </c>
      <c r="C328" s="360"/>
      <c r="D328" s="359">
        <f t="shared" si="41"/>
        <v>0</v>
      </c>
    </row>
    <row r="329" spans="1:5" ht="24" customHeight="1" x14ac:dyDescent="0.25">
      <c r="A329" s="135" t="s">
        <v>334</v>
      </c>
      <c r="B329" s="136">
        <v>0</v>
      </c>
      <c r="C329" s="360"/>
      <c r="D329" s="359" t="s">
        <v>329</v>
      </c>
    </row>
    <row r="330" spans="1:5" ht="24" customHeight="1" thickBot="1" x14ac:dyDescent="0.3">
      <c r="A330" s="137" t="s">
        <v>335</v>
      </c>
      <c r="B330" s="138">
        <v>1</v>
      </c>
      <c r="C330" s="361"/>
      <c r="D330" s="362">
        <f t="shared" si="41"/>
        <v>0</v>
      </c>
    </row>
    <row r="331" spans="1:5" ht="24" customHeight="1" thickBot="1" x14ac:dyDescent="0.3">
      <c r="A331" s="189" t="s">
        <v>159</v>
      </c>
      <c r="B331" s="190"/>
      <c r="C331" s="191"/>
      <c r="D331" s="139"/>
    </row>
    <row r="332" spans="1:5" ht="24" customHeight="1" thickBot="1" x14ac:dyDescent="0.3">
      <c r="A332" s="140"/>
      <c r="B332" s="141"/>
      <c r="C332" s="141"/>
      <c r="D332" s="141"/>
      <c r="E332" s="142"/>
    </row>
    <row r="333" spans="1:5" ht="24" customHeight="1" thickBot="1" x14ac:dyDescent="0.3">
      <c r="A333" s="189" t="s">
        <v>160</v>
      </c>
      <c r="B333" s="190"/>
      <c r="C333" s="191"/>
      <c r="D333" s="143"/>
      <c r="E333" s="143"/>
    </row>
    <row r="334" spans="1:5" ht="24" customHeight="1" thickBot="1" x14ac:dyDescent="0.3">
      <c r="A334" s="144" t="s">
        <v>3</v>
      </c>
      <c r="B334" s="145" t="s">
        <v>109</v>
      </c>
      <c r="C334" s="146" t="s">
        <v>161</v>
      </c>
      <c r="D334" s="143"/>
      <c r="E334" s="143"/>
    </row>
    <row r="335" spans="1:5" ht="24" customHeight="1" x14ac:dyDescent="0.25">
      <c r="A335" s="83" t="s">
        <v>136</v>
      </c>
      <c r="B335" s="147"/>
      <c r="C335" s="148"/>
      <c r="D335" s="141"/>
      <c r="E335" s="149"/>
    </row>
    <row r="336" spans="1:5" ht="24" customHeight="1" x14ac:dyDescent="0.25">
      <c r="A336" s="85" t="s">
        <v>139</v>
      </c>
      <c r="B336" s="150"/>
      <c r="C336" s="151"/>
      <c r="D336" s="141"/>
      <c r="E336" s="149"/>
    </row>
    <row r="337" spans="1:8" ht="24" customHeight="1" thickBot="1" x14ac:dyDescent="0.3">
      <c r="A337" s="140"/>
      <c r="B337" s="141"/>
      <c r="C337" s="141"/>
      <c r="D337" s="141"/>
      <c r="E337" s="140"/>
    </row>
    <row r="338" spans="1:8" ht="24" customHeight="1" thickBot="1" x14ac:dyDescent="0.3">
      <c r="A338" s="351" t="s">
        <v>336</v>
      </c>
      <c r="B338" s="352"/>
      <c r="C338" s="352"/>
      <c r="D338" s="352"/>
      <c r="E338" s="353"/>
      <c r="H338" s="363"/>
    </row>
    <row r="339" spans="1:8" ht="24" customHeight="1" thickBot="1" x14ac:dyDescent="0.3">
      <c r="A339" s="364" t="s">
        <v>162</v>
      </c>
      <c r="B339" s="365" t="s">
        <v>337</v>
      </c>
      <c r="C339" s="366" t="s">
        <v>338</v>
      </c>
      <c r="D339" s="366" t="s">
        <v>339</v>
      </c>
      <c r="E339" s="181" t="s">
        <v>4</v>
      </c>
    </row>
    <row r="340" spans="1:8" ht="24" customHeight="1" x14ac:dyDescent="0.25">
      <c r="A340" s="83" t="s">
        <v>263</v>
      </c>
      <c r="B340" s="147" t="e">
        <f>#REF!+G128+G228+F308+E331</f>
        <v>#REF!</v>
      </c>
      <c r="C340" s="367">
        <v>192.4</v>
      </c>
      <c r="D340" s="367">
        <f>C340*9.25%</f>
        <v>17.797000000000001</v>
      </c>
      <c r="E340" s="368">
        <f>C340-D340</f>
        <v>174.60300000000001</v>
      </c>
    </row>
    <row r="341" spans="1:8" ht="24" customHeight="1" thickBot="1" x14ac:dyDescent="0.3">
      <c r="A341" s="82" t="s">
        <v>264</v>
      </c>
      <c r="B341" s="152" t="e">
        <f>#REF!+G129+G229+F309+E332</f>
        <v>#REF!</v>
      </c>
      <c r="C341" s="154">
        <v>192.4</v>
      </c>
      <c r="D341" s="154">
        <f>C341*9.25%</f>
        <v>17.797000000000001</v>
      </c>
      <c r="E341" s="155">
        <f>C341-D341</f>
        <v>174.60300000000001</v>
      </c>
    </row>
    <row r="342" spans="1:8" ht="24" customHeight="1" thickBot="1" x14ac:dyDescent="0.3">
      <c r="A342" s="370" t="s">
        <v>163</v>
      </c>
      <c r="B342" s="371"/>
      <c r="C342" s="371"/>
      <c r="D342" s="371"/>
      <c r="E342" s="369">
        <f>SUM(E340:E341)</f>
        <v>349.20600000000002</v>
      </c>
    </row>
    <row r="343" spans="1:8" ht="24" customHeight="1" x14ac:dyDescent="0.25">
      <c r="A343" s="140"/>
      <c r="B343" s="141"/>
      <c r="C343" s="141"/>
      <c r="D343" s="141"/>
      <c r="E343" s="140"/>
    </row>
    <row r="344" spans="1:8" ht="24" customHeight="1" thickBot="1" x14ac:dyDescent="0.3">
      <c r="C344" s="140"/>
      <c r="D344" s="141"/>
      <c r="E344" s="141"/>
      <c r="F344" s="141"/>
      <c r="G344" s="140"/>
    </row>
    <row r="345" spans="1:8" ht="24" customHeight="1" thickBot="1" x14ac:dyDescent="0.3">
      <c r="A345" s="351" t="s">
        <v>340</v>
      </c>
      <c r="B345" s="352"/>
      <c r="C345" s="352"/>
      <c r="D345" s="352"/>
      <c r="E345" s="353"/>
      <c r="F345" s="363"/>
    </row>
    <row r="346" spans="1:8" ht="24" customHeight="1" thickBot="1" x14ac:dyDescent="0.3">
      <c r="A346" s="364" t="s">
        <v>162</v>
      </c>
      <c r="B346" s="365" t="s">
        <v>337</v>
      </c>
      <c r="C346" s="366" t="s">
        <v>338</v>
      </c>
      <c r="D346" s="366" t="s">
        <v>339</v>
      </c>
      <c r="E346" s="181" t="s">
        <v>4</v>
      </c>
    </row>
    <row r="347" spans="1:8" ht="24" customHeight="1" x14ac:dyDescent="0.25">
      <c r="A347" s="83" t="s">
        <v>263</v>
      </c>
      <c r="B347" s="147" t="str">
        <f>D326</f>
        <v>-</v>
      </c>
      <c r="C347" s="367">
        <v>67.72</v>
      </c>
      <c r="D347" s="367">
        <f>C347*9.25%</f>
        <v>6.2641</v>
      </c>
      <c r="E347" s="368">
        <f>C347-D347</f>
        <v>61.4559</v>
      </c>
    </row>
    <row r="348" spans="1:8" ht="24" customHeight="1" thickBot="1" x14ac:dyDescent="0.3">
      <c r="A348" s="82" t="s">
        <v>264</v>
      </c>
      <c r="B348" s="152" t="str">
        <f>D327</f>
        <v>-</v>
      </c>
      <c r="C348" s="154">
        <v>67.72</v>
      </c>
      <c r="D348" s="154">
        <f>C348*9.25%</f>
        <v>6.2641</v>
      </c>
      <c r="E348" s="155">
        <f>C348-D348</f>
        <v>61.4559</v>
      </c>
    </row>
    <row r="349" spans="1:8" ht="24" customHeight="1" thickBot="1" x14ac:dyDescent="0.3">
      <c r="A349" s="370" t="s">
        <v>163</v>
      </c>
      <c r="B349" s="371"/>
      <c r="C349" s="371"/>
      <c r="D349" s="371"/>
      <c r="E349" s="369">
        <f>SUM(E347:E348)</f>
        <v>122.9118</v>
      </c>
    </row>
    <row r="350" spans="1:8" ht="24" hidden="1" customHeight="1" x14ac:dyDescent="0.3">
      <c r="A350" s="372" t="s">
        <v>315</v>
      </c>
      <c r="B350" s="373">
        <f>E349</f>
        <v>122.9118</v>
      </c>
      <c r="C350" s="373">
        <f>B350/12</f>
        <v>10.242649999999999</v>
      </c>
      <c r="D350" s="374">
        <f>C350/1</f>
        <v>10.242649999999999</v>
      </c>
    </row>
    <row r="351" spans="1:8" ht="24" hidden="1" customHeight="1" x14ac:dyDescent="0.25">
      <c r="A351" s="1" t="s">
        <v>316</v>
      </c>
      <c r="B351" s="153" t="e">
        <f>#REF!</f>
        <v>#REF!</v>
      </c>
      <c r="C351" s="153" t="e">
        <f>B351/12</f>
        <v>#REF!</v>
      </c>
      <c r="D351" s="375" t="e">
        <f>C351/4</f>
        <v>#REF!</v>
      </c>
    </row>
    <row r="352" spans="1:8" ht="24" hidden="1" customHeight="1" x14ac:dyDescent="0.25">
      <c r="A352" s="85" t="s">
        <v>317</v>
      </c>
      <c r="B352" s="150" t="e">
        <f>#REF!</f>
        <v>#REF!</v>
      </c>
      <c r="C352" s="150" t="e">
        <f>B352/12</f>
        <v>#REF!</v>
      </c>
      <c r="D352" s="156" t="e">
        <f>C352/4</f>
        <v>#REF!</v>
      </c>
    </row>
    <row r="353" spans="1:6" ht="24" hidden="1" customHeight="1" x14ac:dyDescent="0.3">
      <c r="A353" s="82" t="s">
        <v>318</v>
      </c>
      <c r="B353" s="152">
        <f>E349</f>
        <v>122.9118</v>
      </c>
      <c r="C353" s="152">
        <f>B353/12</f>
        <v>10.242649999999999</v>
      </c>
      <c r="D353" s="376">
        <f>C353/1</f>
        <v>10.242649999999999</v>
      </c>
    </row>
    <row r="354" spans="1:6" ht="24" customHeight="1" thickBot="1" x14ac:dyDescent="0.3">
      <c r="A354" s="140"/>
      <c r="B354" s="141"/>
      <c r="C354" s="141"/>
      <c r="D354" s="141"/>
      <c r="E354" s="140"/>
    </row>
    <row r="355" spans="1:6" ht="24" customHeight="1" thickBot="1" x14ac:dyDescent="0.3">
      <c r="A355" s="351" t="s">
        <v>341</v>
      </c>
      <c r="B355" s="352"/>
      <c r="C355" s="352"/>
      <c r="D355" s="352"/>
      <c r="E355" s="353"/>
      <c r="F355" s="363"/>
    </row>
    <row r="356" spans="1:6" ht="24" customHeight="1" thickBot="1" x14ac:dyDescent="0.3">
      <c r="A356" s="364" t="s">
        <v>162</v>
      </c>
      <c r="B356" s="365" t="s">
        <v>337</v>
      </c>
      <c r="C356" s="366" t="s">
        <v>338</v>
      </c>
      <c r="D356" s="366" t="s">
        <v>339</v>
      </c>
      <c r="E356" s="181" t="s">
        <v>4</v>
      </c>
    </row>
    <row r="357" spans="1:6" ht="24" customHeight="1" x14ac:dyDescent="0.25">
      <c r="A357" s="83" t="s">
        <v>263</v>
      </c>
      <c r="B357" s="147">
        <f>D337</f>
        <v>0</v>
      </c>
      <c r="C357" s="367">
        <v>1.72</v>
      </c>
      <c r="D357" s="367">
        <f>C357*9.25%</f>
        <v>0.15909999999999999</v>
      </c>
      <c r="E357" s="368">
        <f>C357-D357</f>
        <v>1.5609</v>
      </c>
    </row>
    <row r="358" spans="1:6" ht="24" customHeight="1" thickBot="1" x14ac:dyDescent="0.3">
      <c r="A358" s="82" t="s">
        <v>264</v>
      </c>
      <c r="B358" s="152">
        <f>D338</f>
        <v>0</v>
      </c>
      <c r="C358" s="154">
        <v>1.72</v>
      </c>
      <c r="D358" s="154">
        <f>C358*9.25%</f>
        <v>0.15909999999999999</v>
      </c>
      <c r="E358" s="155">
        <f>C358-D358</f>
        <v>1.5609</v>
      </c>
    </row>
    <row r="359" spans="1:6" ht="24" customHeight="1" thickBot="1" x14ac:dyDescent="0.3">
      <c r="A359" s="370" t="s">
        <v>163</v>
      </c>
      <c r="B359" s="371"/>
      <c r="C359" s="371"/>
      <c r="D359" s="371"/>
      <c r="E359" s="369">
        <f>SUM(E357:E358)</f>
        <v>3.1217999999999999</v>
      </c>
    </row>
    <row r="360" spans="1:6" ht="24" hidden="1" customHeight="1" x14ac:dyDescent="0.3">
      <c r="A360" s="372" t="s">
        <v>315</v>
      </c>
      <c r="B360" s="373">
        <f>E359</f>
        <v>3.1217999999999999</v>
      </c>
      <c r="C360" s="373">
        <f>B360/12</f>
        <v>0.26014999999999999</v>
      </c>
      <c r="D360" s="374">
        <f>C360/1</f>
        <v>0.26014999999999999</v>
      </c>
    </row>
    <row r="361" spans="1:6" ht="24" hidden="1" customHeight="1" x14ac:dyDescent="0.25">
      <c r="A361" s="1" t="s">
        <v>316</v>
      </c>
      <c r="B361" s="153" t="e">
        <f>#REF!</f>
        <v>#REF!</v>
      </c>
      <c r="C361" s="153" t="e">
        <f>B361/12</f>
        <v>#REF!</v>
      </c>
      <c r="D361" s="375" t="e">
        <f>C361/4</f>
        <v>#REF!</v>
      </c>
    </row>
    <row r="362" spans="1:6" ht="24" hidden="1" customHeight="1" x14ac:dyDescent="0.25">
      <c r="A362" s="85" t="s">
        <v>317</v>
      </c>
      <c r="B362" s="150" t="e">
        <f>#REF!</f>
        <v>#REF!</v>
      </c>
      <c r="C362" s="150" t="e">
        <f>B362/12</f>
        <v>#REF!</v>
      </c>
      <c r="D362" s="156" t="e">
        <f>C362/4</f>
        <v>#REF!</v>
      </c>
    </row>
    <row r="363" spans="1:6" ht="24" hidden="1" customHeight="1" x14ac:dyDescent="0.3">
      <c r="A363" s="82" t="s">
        <v>318</v>
      </c>
      <c r="B363" s="152">
        <f>E359</f>
        <v>3.1217999999999999</v>
      </c>
      <c r="C363" s="152">
        <f>B363/12</f>
        <v>0.26014999999999999</v>
      </c>
      <c r="D363" s="376">
        <f>C363/1</f>
        <v>0.26014999999999999</v>
      </c>
    </row>
    <row r="364" spans="1:6" ht="24" customHeight="1" thickBot="1" x14ac:dyDescent="0.3"/>
    <row r="365" spans="1:6" ht="24" customHeight="1" thickBot="1" x14ac:dyDescent="0.3">
      <c r="A365" s="189" t="s">
        <v>342</v>
      </c>
      <c r="B365" s="190"/>
      <c r="C365" s="190"/>
      <c r="D365" s="190"/>
      <c r="E365" s="190"/>
      <c r="F365" s="191"/>
    </row>
    <row r="366" spans="1:6" ht="24" customHeight="1" thickBot="1" x14ac:dyDescent="0.3">
      <c r="A366" s="144" t="s">
        <v>3</v>
      </c>
      <c r="B366" s="145" t="s">
        <v>343</v>
      </c>
      <c r="C366" s="145" t="s">
        <v>224</v>
      </c>
      <c r="D366" s="145" t="s">
        <v>225</v>
      </c>
      <c r="E366" s="145" t="s">
        <v>344</v>
      </c>
      <c r="F366" s="146" t="s">
        <v>4</v>
      </c>
    </row>
    <row r="367" spans="1:6" ht="24" customHeight="1" x14ac:dyDescent="0.25">
      <c r="A367" s="83" t="s">
        <v>263</v>
      </c>
      <c r="B367" s="377">
        <f>E328</f>
        <v>0</v>
      </c>
      <c r="C367" s="377">
        <f>G337</f>
        <v>0</v>
      </c>
      <c r="D367" s="377">
        <f>E347</f>
        <v>61.4559</v>
      </c>
      <c r="E367" s="377">
        <f>E357</f>
        <v>1.5609</v>
      </c>
      <c r="F367" s="378">
        <f>SUM(B367:E367)</f>
        <v>63.016799999999996</v>
      </c>
    </row>
    <row r="368" spans="1:6" ht="24" customHeight="1" thickBot="1" x14ac:dyDescent="0.3">
      <c r="A368" s="82" t="s">
        <v>264</v>
      </c>
      <c r="B368" s="379">
        <f>E329</f>
        <v>0</v>
      </c>
      <c r="C368" s="379">
        <f>G338</f>
        <v>0</v>
      </c>
      <c r="D368" s="379">
        <f>E348</f>
        <v>61.4559</v>
      </c>
      <c r="E368" s="379">
        <f>E358</f>
        <v>1.5609</v>
      </c>
      <c r="F368" s="380">
        <f>SUM(B368:E368)</f>
        <v>63.016799999999996</v>
      </c>
    </row>
    <row r="369" spans="1:8" ht="24" hidden="1" customHeight="1" x14ac:dyDescent="0.25">
      <c r="C369" s="1" t="s">
        <v>315</v>
      </c>
      <c r="D369" s="381">
        <f t="shared" ref="D367:D372" si="42">E330</f>
        <v>0</v>
      </c>
      <c r="E369" s="381">
        <f>F340</f>
        <v>0</v>
      </c>
      <c r="F369" s="382">
        <f>SUM(D369:E369)</f>
        <v>0</v>
      </c>
    </row>
    <row r="370" spans="1:8" ht="24" hidden="1" customHeight="1" x14ac:dyDescent="0.25">
      <c r="C370" s="85" t="s">
        <v>316</v>
      </c>
      <c r="D370" s="383">
        <f t="shared" si="42"/>
        <v>0</v>
      </c>
      <c r="E370" s="383">
        <f>F341</f>
        <v>0</v>
      </c>
      <c r="F370" s="384">
        <f>SUM(D370:E370)</f>
        <v>0</v>
      </c>
    </row>
    <row r="371" spans="1:8" ht="24" hidden="1" customHeight="1" x14ac:dyDescent="0.25">
      <c r="C371" s="85" t="s">
        <v>317</v>
      </c>
      <c r="D371" s="383">
        <f t="shared" si="42"/>
        <v>0</v>
      </c>
      <c r="E371" s="383">
        <f>F342</f>
        <v>0</v>
      </c>
      <c r="F371" s="384">
        <f>SUM(D371:E371)</f>
        <v>0</v>
      </c>
    </row>
    <row r="372" spans="1:8" ht="24" hidden="1" customHeight="1" x14ac:dyDescent="0.3">
      <c r="C372" s="82" t="s">
        <v>318</v>
      </c>
      <c r="D372" s="379">
        <f t="shared" si="42"/>
        <v>0</v>
      </c>
      <c r="E372" s="379">
        <f>F343</f>
        <v>0</v>
      </c>
      <c r="F372" s="380">
        <f>SUM(D372:E372)</f>
        <v>0</v>
      </c>
    </row>
    <row r="374" spans="1:8" ht="24" customHeight="1" x14ac:dyDescent="0.25">
      <c r="A374" s="192" t="s">
        <v>114</v>
      </c>
      <c r="B374" s="192"/>
      <c r="C374" s="192"/>
      <c r="D374" s="192"/>
      <c r="E374" s="192"/>
      <c r="F374" s="192"/>
      <c r="G374" s="192"/>
      <c r="H374" s="192"/>
    </row>
    <row r="375" spans="1:8" ht="24" customHeight="1" thickBot="1" x14ac:dyDescent="0.3">
      <c r="A375" s="186"/>
      <c r="B375" s="186"/>
      <c r="C375" s="186"/>
      <c r="D375" s="186"/>
      <c r="E375" s="186"/>
      <c r="F375" s="186"/>
    </row>
    <row r="376" spans="1:8" ht="49.5" customHeight="1" x14ac:dyDescent="0.25">
      <c r="A376" s="187" t="s">
        <v>147</v>
      </c>
      <c r="B376" s="188"/>
      <c r="C376" s="124"/>
      <c r="D376" s="124"/>
      <c r="E376" s="124"/>
      <c r="F376" s="124"/>
    </row>
    <row r="377" spans="1:8" ht="24" customHeight="1" x14ac:dyDescent="0.25">
      <c r="A377" s="126" t="s">
        <v>148</v>
      </c>
      <c r="B377" s="128">
        <v>0.1</v>
      </c>
      <c r="C377" s="124"/>
      <c r="D377" s="124"/>
      <c r="E377" s="124"/>
      <c r="F377" s="124"/>
    </row>
    <row r="378" spans="1:8" ht="24" customHeight="1" x14ac:dyDescent="0.25">
      <c r="A378" s="126" t="s">
        <v>149</v>
      </c>
      <c r="B378" s="128">
        <v>0.15</v>
      </c>
      <c r="C378" s="124"/>
      <c r="D378" s="124"/>
      <c r="E378" s="124"/>
      <c r="F378" s="124"/>
    </row>
    <row r="379" spans="1:8" ht="24" customHeight="1" thickBot="1" x14ac:dyDescent="0.3">
      <c r="A379" s="127" t="s">
        <v>150</v>
      </c>
      <c r="B379" s="129">
        <v>0.1</v>
      </c>
      <c r="C379" s="124"/>
      <c r="D379" s="124"/>
      <c r="E379" s="124"/>
      <c r="F379" s="124"/>
    </row>
    <row r="380" spans="1:8" ht="24" customHeight="1" thickBot="1" x14ac:dyDescent="0.3"/>
    <row r="381" spans="1:8" ht="24" customHeight="1" thickBot="1" x14ac:dyDescent="0.3">
      <c r="A381" s="193" t="s">
        <v>114</v>
      </c>
      <c r="B381" s="194"/>
      <c r="C381" s="194"/>
      <c r="D381" s="195"/>
    </row>
    <row r="382" spans="1:8" ht="24" customHeight="1" thickBot="1" x14ac:dyDescent="0.3">
      <c r="A382" s="14" t="s">
        <v>3</v>
      </c>
      <c r="B382" s="15" t="s">
        <v>1</v>
      </c>
      <c r="C382" s="15" t="s">
        <v>2</v>
      </c>
      <c r="D382" s="16" t="s">
        <v>4</v>
      </c>
    </row>
    <row r="383" spans="1:8" ht="24" customHeight="1" x14ac:dyDescent="0.25">
      <c r="A383" s="83" t="s">
        <v>263</v>
      </c>
      <c r="B383" s="104">
        <f>F367+D316+E258+E190+G70</f>
        <v>559.21399971582275</v>
      </c>
      <c r="C383" s="130">
        <f>((1+$B$377)/(1-$B$378-$B$379))-1</f>
        <v>0.46666666666666679</v>
      </c>
      <c r="D383" s="98">
        <f>B383*C383</f>
        <v>260.96653320071732</v>
      </c>
    </row>
    <row r="384" spans="1:8" ht="24" customHeight="1" thickBot="1" x14ac:dyDescent="0.3">
      <c r="A384" s="82" t="s">
        <v>264</v>
      </c>
      <c r="B384" s="105">
        <f>F368+D317+E259+E191+G71</f>
        <v>559.21399971582275</v>
      </c>
      <c r="C384" s="131">
        <f t="shared" ref="C384" si="43">((1+$B$377)/(1-$B$378-$B$379))-1</f>
        <v>0.46666666666666679</v>
      </c>
      <c r="D384" s="101">
        <f t="shared" ref="D384" si="44">B384*C384</f>
        <v>260.96653320071732</v>
      </c>
    </row>
    <row r="386" spans="1:8" ht="24" customHeight="1" x14ac:dyDescent="0.25">
      <c r="A386" s="192" t="s">
        <v>151</v>
      </c>
      <c r="B386" s="192"/>
      <c r="C386" s="192"/>
      <c r="D386" s="192"/>
      <c r="E386" s="192"/>
      <c r="F386" s="192"/>
      <c r="G386" s="192"/>
      <c r="H386" s="192"/>
    </row>
    <row r="387" spans="1:8" ht="24" customHeight="1" thickBot="1" x14ac:dyDescent="0.3"/>
    <row r="388" spans="1:8" ht="24" customHeight="1" thickBot="1" x14ac:dyDescent="0.3">
      <c r="A388" s="212" t="s">
        <v>152</v>
      </c>
      <c r="B388" s="213"/>
      <c r="C388" s="213"/>
      <c r="D388" s="214"/>
    </row>
    <row r="389" spans="1:8" ht="24" customHeight="1" thickBot="1" x14ac:dyDescent="0.3">
      <c r="A389" s="81" t="s">
        <v>115</v>
      </c>
      <c r="B389" s="385" t="s">
        <v>329</v>
      </c>
      <c r="C389" s="78" t="s">
        <v>263</v>
      </c>
      <c r="D389" s="79" t="s">
        <v>264</v>
      </c>
    </row>
    <row r="390" spans="1:8" ht="32.1" customHeight="1" x14ac:dyDescent="0.25">
      <c r="A390" s="42" t="s">
        <v>116</v>
      </c>
      <c r="B390" s="90" t="s">
        <v>345</v>
      </c>
      <c r="C390" s="90">
        <f>G70</f>
        <v>0</v>
      </c>
      <c r="D390" s="90">
        <f>G71</f>
        <v>0</v>
      </c>
    </row>
    <row r="391" spans="1:8" ht="32.1" customHeight="1" x14ac:dyDescent="0.25">
      <c r="A391" s="24" t="s">
        <v>117</v>
      </c>
      <c r="B391" s="91" t="s">
        <v>345</v>
      </c>
      <c r="C391" s="91">
        <f>E190</f>
        <v>429</v>
      </c>
      <c r="D391" s="41">
        <f>E191</f>
        <v>429</v>
      </c>
    </row>
    <row r="392" spans="1:8" ht="32.1" customHeight="1" x14ac:dyDescent="0.25">
      <c r="A392" s="24" t="s">
        <v>118</v>
      </c>
      <c r="B392" s="91" t="s">
        <v>345</v>
      </c>
      <c r="C392" s="91">
        <f>E258</f>
        <v>29.979949999999999</v>
      </c>
      <c r="D392" s="41">
        <f>E259</f>
        <v>29.979949999999999</v>
      </c>
    </row>
    <row r="393" spans="1:8" ht="32.1" customHeight="1" x14ac:dyDescent="0.25">
      <c r="A393" s="24" t="s">
        <v>119</v>
      </c>
      <c r="B393" s="91" t="s">
        <v>345</v>
      </c>
      <c r="C393" s="91">
        <f>D316</f>
        <v>37.217249715822774</v>
      </c>
      <c r="D393" s="41">
        <f>D317</f>
        <v>37.217249715822774</v>
      </c>
    </row>
    <row r="394" spans="1:8" ht="32.1" customHeight="1" x14ac:dyDescent="0.25">
      <c r="A394" s="24" t="s">
        <v>120</v>
      </c>
      <c r="B394" s="91" t="s">
        <v>345</v>
      </c>
      <c r="C394" s="91">
        <f>F367</f>
        <v>63.016799999999996</v>
      </c>
      <c r="D394" s="41">
        <f>F368</f>
        <v>63.016799999999996</v>
      </c>
    </row>
    <row r="395" spans="1:8" ht="32.1" customHeight="1" x14ac:dyDescent="0.25">
      <c r="A395" s="24" t="s">
        <v>121</v>
      </c>
      <c r="B395" s="91" t="s">
        <v>345</v>
      </c>
      <c r="C395" s="91">
        <f>D383</f>
        <v>260.96653320071732</v>
      </c>
      <c r="D395" s="41">
        <f>D384</f>
        <v>260.96653320071732</v>
      </c>
    </row>
    <row r="396" spans="1:8" ht="32.1" customHeight="1" thickBot="1" x14ac:dyDescent="0.3">
      <c r="A396" s="108" t="s">
        <v>122</v>
      </c>
      <c r="B396" s="91" t="s">
        <v>345</v>
      </c>
      <c r="C396" s="109">
        <f>SUM(C390:C395)</f>
        <v>820.18053291654007</v>
      </c>
      <c r="D396" s="110">
        <f>SUM(D390:D395)</f>
        <v>820.18053291654007</v>
      </c>
    </row>
    <row r="397" spans="1:8" ht="32.1" customHeight="1" thickBot="1" x14ac:dyDescent="0.3">
      <c r="A397" s="80" t="s">
        <v>123</v>
      </c>
      <c r="B397" s="63" t="s">
        <v>345</v>
      </c>
      <c r="C397" s="63">
        <f>C396*1</f>
        <v>820.18053291654007</v>
      </c>
      <c r="D397" s="64">
        <f>D396*1</f>
        <v>820.18053291654007</v>
      </c>
    </row>
    <row r="398" spans="1:8" ht="24" customHeight="1" x14ac:dyDescent="0.25">
      <c r="A398" s="56"/>
    </row>
    <row r="399" spans="1:8" ht="24" customHeight="1" x14ac:dyDescent="0.25">
      <c r="A399" s="56"/>
    </row>
    <row r="400" spans="1:8" ht="24" customHeight="1" x14ac:dyDescent="0.25">
      <c r="A400" s="56"/>
    </row>
  </sheetData>
  <mergeCells count="110">
    <mergeCell ref="A176:D176"/>
    <mergeCell ref="A175:H175"/>
    <mergeCell ref="A181:G181"/>
    <mergeCell ref="C198:D198"/>
    <mergeCell ref="C199:D199"/>
    <mergeCell ref="A147:F147"/>
    <mergeCell ref="A166:D166"/>
    <mergeCell ref="A6:H6"/>
    <mergeCell ref="A9:H9"/>
    <mergeCell ref="A16:H16"/>
    <mergeCell ref="A24:H24"/>
    <mergeCell ref="A37:H37"/>
    <mergeCell ref="A65:H65"/>
    <mergeCell ref="A66:H66"/>
    <mergeCell ref="A73:H73"/>
    <mergeCell ref="A98:H98"/>
    <mergeCell ref="A128:H128"/>
    <mergeCell ref="A164:H164"/>
    <mergeCell ref="A170:H170"/>
    <mergeCell ref="A149:D149"/>
    <mergeCell ref="A154:D154"/>
    <mergeCell ref="A159:D159"/>
    <mergeCell ref="A130:F130"/>
    <mergeCell ref="A137:E137"/>
    <mergeCell ref="A127:H127"/>
    <mergeCell ref="A117:D117"/>
    <mergeCell ref="A54:F54"/>
    <mergeCell ref="A82:D82"/>
    <mergeCell ref="A388:D388"/>
    <mergeCell ref="A381:D381"/>
    <mergeCell ref="A386:H386"/>
    <mergeCell ref="A18:D18"/>
    <mergeCell ref="A39:E39"/>
    <mergeCell ref="A23:H23"/>
    <mergeCell ref="A36:H36"/>
    <mergeCell ref="A43:E43"/>
    <mergeCell ref="A53:D53"/>
    <mergeCell ref="A68:G68"/>
    <mergeCell ref="A56:D56"/>
    <mergeCell ref="A87:E87"/>
    <mergeCell ref="A92:E92"/>
    <mergeCell ref="A281:D281"/>
    <mergeCell ref="A282:A283"/>
    <mergeCell ref="B282:D282"/>
    <mergeCell ref="A301:D301"/>
    <mergeCell ref="A306:E306"/>
    <mergeCell ref="A298:H298"/>
    <mergeCell ref="A299:H299"/>
    <mergeCell ref="A266:A267"/>
    <mergeCell ref="B266:B267"/>
    <mergeCell ref="C266:C267"/>
    <mergeCell ref="A256:E256"/>
    <mergeCell ref="A264:G264"/>
    <mergeCell ref="A265:G265"/>
    <mergeCell ref="A254:H254"/>
    <mergeCell ref="A261:H261"/>
    <mergeCell ref="A262:H262"/>
    <mergeCell ref="A226:D226"/>
    <mergeCell ref="A231:D231"/>
    <mergeCell ref="A236:D236"/>
    <mergeCell ref="A249:D249"/>
    <mergeCell ref="A244:E244"/>
    <mergeCell ref="A223:H223"/>
    <mergeCell ref="A241:H241"/>
    <mergeCell ref="A224:H224"/>
    <mergeCell ref="A242:H242"/>
    <mergeCell ref="A218:D218"/>
    <mergeCell ref="A171:D171"/>
    <mergeCell ref="A196:B196"/>
    <mergeCell ref="A208:D208"/>
    <mergeCell ref="A213:D213"/>
    <mergeCell ref="A188:E188"/>
    <mergeCell ref="A205:H205"/>
    <mergeCell ref="A186:H186"/>
    <mergeCell ref="A193:H193"/>
    <mergeCell ref="A206:H206"/>
    <mergeCell ref="A194:H194"/>
    <mergeCell ref="C200:D200"/>
    <mergeCell ref="C201:D201"/>
    <mergeCell ref="C202:D202"/>
    <mergeCell ref="A77:D77"/>
    <mergeCell ref="A100:B100"/>
    <mergeCell ref="A112:D112"/>
    <mergeCell ref="A97:H97"/>
    <mergeCell ref="A122:D122"/>
    <mergeCell ref="A142:D142"/>
    <mergeCell ref="A1:H1"/>
    <mergeCell ref="A5:H5"/>
    <mergeCell ref="A11:B11"/>
    <mergeCell ref="A26:D26"/>
    <mergeCell ref="A48:D48"/>
    <mergeCell ref="A2:H2"/>
    <mergeCell ref="A8:H8"/>
    <mergeCell ref="A15:H15"/>
    <mergeCell ref="A75:H75"/>
    <mergeCell ref="A132:E132"/>
    <mergeCell ref="A3:H3"/>
    <mergeCell ref="A375:F375"/>
    <mergeCell ref="A376:B376"/>
    <mergeCell ref="A321:D321"/>
    <mergeCell ref="A331:C331"/>
    <mergeCell ref="A333:C333"/>
    <mergeCell ref="A312:H312"/>
    <mergeCell ref="A319:H319"/>
    <mergeCell ref="A374:H374"/>
    <mergeCell ref="A314:D314"/>
    <mergeCell ref="A338:E338"/>
    <mergeCell ref="A345:E345"/>
    <mergeCell ref="A355:E355"/>
    <mergeCell ref="A365:F365"/>
  </mergeCells>
  <conditionalFormatting sqref="A168">
    <cfRule type="duplicateValues" dxfId="60" priority="24"/>
  </conditionalFormatting>
  <conditionalFormatting sqref="A173">
    <cfRule type="duplicateValues" dxfId="59" priority="23"/>
  </conditionalFormatting>
  <conditionalFormatting sqref="A178">
    <cfRule type="duplicateValues" dxfId="58" priority="22"/>
  </conditionalFormatting>
  <conditionalFormatting sqref="A183">
    <cfRule type="duplicateValues" dxfId="57" priority="21"/>
  </conditionalFormatting>
  <conditionalFormatting sqref="A190">
    <cfRule type="duplicateValues" dxfId="56" priority="20"/>
  </conditionalFormatting>
  <conditionalFormatting sqref="A210">
    <cfRule type="duplicateValues" dxfId="55" priority="19"/>
  </conditionalFormatting>
  <conditionalFormatting sqref="A215">
    <cfRule type="duplicateValues" dxfId="54" priority="18"/>
  </conditionalFormatting>
  <conditionalFormatting sqref="A220">
    <cfRule type="duplicateValues" dxfId="53" priority="17"/>
  </conditionalFormatting>
  <conditionalFormatting sqref="A228">
    <cfRule type="duplicateValues" dxfId="52" priority="16"/>
  </conditionalFormatting>
  <conditionalFormatting sqref="A233">
    <cfRule type="duplicateValues" dxfId="51" priority="15"/>
  </conditionalFormatting>
  <conditionalFormatting sqref="A238">
    <cfRule type="duplicateValues" dxfId="50" priority="14"/>
  </conditionalFormatting>
  <conditionalFormatting sqref="A246">
    <cfRule type="duplicateValues" dxfId="49" priority="13"/>
  </conditionalFormatting>
  <conditionalFormatting sqref="A251">
    <cfRule type="duplicateValues" dxfId="48" priority="12"/>
  </conditionalFormatting>
  <conditionalFormatting sqref="A258">
    <cfRule type="duplicateValues" dxfId="47" priority="11"/>
  </conditionalFormatting>
  <conditionalFormatting sqref="A303">
    <cfRule type="duplicateValues" dxfId="46" priority="10"/>
  </conditionalFormatting>
  <conditionalFormatting sqref="A308">
    <cfRule type="duplicateValues" dxfId="45" priority="9"/>
  </conditionalFormatting>
  <conditionalFormatting sqref="A316">
    <cfRule type="duplicateValues" dxfId="44" priority="6"/>
  </conditionalFormatting>
  <conditionalFormatting sqref="A340">
    <cfRule type="duplicateValues" dxfId="43" priority="5"/>
  </conditionalFormatting>
  <conditionalFormatting sqref="A367">
    <cfRule type="duplicateValues" dxfId="42" priority="4"/>
  </conditionalFormatting>
  <conditionalFormatting sqref="A357">
    <cfRule type="duplicateValues" dxfId="41" priority="3"/>
  </conditionalFormatting>
  <conditionalFormatting sqref="A347">
    <cfRule type="duplicateValues" dxfId="40" priority="2"/>
  </conditionalFormatting>
  <conditionalFormatting sqref="A383">
    <cfRule type="duplicateValues" dxfId="39" priority="1"/>
  </conditionalFormatting>
  <pageMargins left="0.511811024" right="0.511811024" top="0.78740157499999996" bottom="0.78740157499999996" header="0.31496062000000002" footer="0.31496062000000002"/>
  <pageSetup paperSize="9" orientation="portrait" horizontalDpi="4294967295" verticalDpi="4294967295"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1"/>
  <sheetViews>
    <sheetView topLeftCell="A73" workbookViewId="0">
      <selection activeCell="B86" sqref="A86:XFD88"/>
    </sheetView>
  </sheetViews>
  <sheetFormatPr defaultRowHeight="15" x14ac:dyDescent="0.25"/>
  <cols>
    <col min="2" max="2" width="22.5703125" customWidth="1"/>
    <col min="3" max="3" width="21.42578125" customWidth="1"/>
    <col min="4" max="4" width="21.85546875" customWidth="1"/>
    <col min="5" max="5" width="19.28515625" customWidth="1"/>
    <col min="6" max="6" width="18" customWidth="1"/>
    <col min="7" max="7" width="12.140625" customWidth="1"/>
  </cols>
  <sheetData>
    <row r="2" spans="1:8" ht="15.75" thickBot="1" x14ac:dyDescent="0.3"/>
    <row r="3" spans="1:8" ht="16.5" thickBot="1" x14ac:dyDescent="0.3">
      <c r="A3" s="229" t="s">
        <v>255</v>
      </c>
      <c r="B3" s="230"/>
      <c r="C3" s="230"/>
      <c r="D3" s="230"/>
      <c r="E3" s="230"/>
      <c r="F3" s="230"/>
      <c r="G3" s="230"/>
      <c r="H3" s="231"/>
    </row>
    <row r="4" spans="1:8" ht="16.5" thickBot="1" x14ac:dyDescent="0.3">
      <c r="B4" s="30"/>
      <c r="C4" s="30"/>
      <c r="D4" s="30"/>
      <c r="E4" s="30"/>
      <c r="F4" s="30"/>
      <c r="G4" s="30"/>
    </row>
    <row r="5" spans="1:8" ht="16.5" thickBot="1" x14ac:dyDescent="0.3">
      <c r="B5" s="212" t="s">
        <v>256</v>
      </c>
      <c r="C5" s="213"/>
      <c r="D5" s="213"/>
      <c r="E5" s="213"/>
      <c r="F5" s="214"/>
      <c r="G5" s="30"/>
    </row>
    <row r="6" spans="1:8" ht="31.5" x14ac:dyDescent="0.25">
      <c r="B6" s="184" t="s">
        <v>257</v>
      </c>
      <c r="C6" s="180" t="s">
        <v>258</v>
      </c>
      <c r="D6" s="13" t="s">
        <v>259</v>
      </c>
      <c r="E6" s="13" t="s">
        <v>260</v>
      </c>
      <c r="F6" s="185" t="s">
        <v>261</v>
      </c>
      <c r="G6" s="30"/>
    </row>
    <row r="7" spans="1:8" ht="15.75" hidden="1" x14ac:dyDescent="0.25">
      <c r="B7" s="232" t="s">
        <v>262</v>
      </c>
      <c r="C7" s="233" t="s">
        <v>263</v>
      </c>
      <c r="D7" s="234">
        <f>1/800</f>
        <v>1.25E-3</v>
      </c>
      <c r="E7" s="235">
        <f>'Custo por trabalhador'!C397</f>
        <v>820.18053291654007</v>
      </c>
      <c r="F7" s="236">
        <f>D7*E7</f>
        <v>1.0252256661456751</v>
      </c>
      <c r="G7" s="30"/>
    </row>
    <row r="8" spans="1:8" ht="15.75" hidden="1" x14ac:dyDescent="0.25">
      <c r="B8" s="232"/>
      <c r="C8" s="233" t="s">
        <v>264</v>
      </c>
      <c r="D8" s="233">
        <f>1/(11*800)</f>
        <v>1.1363636363636364E-4</v>
      </c>
      <c r="E8" s="235">
        <f>'Custo por trabalhador'!D396</f>
        <v>820.18053291654007</v>
      </c>
      <c r="F8" s="236">
        <f>D8*E8</f>
        <v>9.3202333285970468E-2</v>
      </c>
      <c r="G8" s="30"/>
    </row>
    <row r="9" spans="1:8" ht="15.75" hidden="1" x14ac:dyDescent="0.25">
      <c r="B9" s="237" t="s">
        <v>32</v>
      </c>
      <c r="C9" s="238"/>
      <c r="D9" s="238"/>
      <c r="E9" s="238"/>
      <c r="F9" s="239">
        <f>SUM(F7:F8)</f>
        <v>1.1184279994316455</v>
      </c>
    </row>
    <row r="10" spans="1:8" x14ac:dyDescent="0.25">
      <c r="B10" s="232" t="s">
        <v>265</v>
      </c>
      <c r="C10" s="233" t="s">
        <v>263</v>
      </c>
      <c r="D10" s="234">
        <f>1/1200</f>
        <v>8.3333333333333339E-4</v>
      </c>
      <c r="E10" s="235">
        <f>E7</f>
        <v>820.18053291654007</v>
      </c>
      <c r="F10" s="236">
        <f>D10*E10</f>
        <v>0.68348377743045008</v>
      </c>
    </row>
    <row r="11" spans="1:8" x14ac:dyDescent="0.25">
      <c r="B11" s="232"/>
      <c r="C11" s="233" t="s">
        <v>264</v>
      </c>
      <c r="D11" s="233">
        <f>1/(11*1200)</f>
        <v>7.5757575757575758E-5</v>
      </c>
      <c r="E11" s="235">
        <f>E8</f>
        <v>820.18053291654007</v>
      </c>
      <c r="F11" s="236">
        <f>D11*E11</f>
        <v>6.2134888857313643E-2</v>
      </c>
    </row>
    <row r="12" spans="1:8" ht="16.5" thickBot="1" x14ac:dyDescent="0.3">
      <c r="B12" s="240" t="s">
        <v>32</v>
      </c>
      <c r="C12" s="241"/>
      <c r="D12" s="241"/>
      <c r="E12" s="241"/>
      <c r="F12" s="242">
        <f>SUM(F10:F11)</f>
        <v>0.74561866628776374</v>
      </c>
    </row>
    <row r="13" spans="1:8" ht="15.75" x14ac:dyDescent="0.25">
      <c r="F13" s="243"/>
    </row>
    <row r="14" spans="1:8" ht="16.5" thickBot="1" x14ac:dyDescent="0.3">
      <c r="B14" s="30"/>
      <c r="C14" s="30"/>
      <c r="D14" s="30"/>
      <c r="E14" s="30"/>
      <c r="F14" s="30"/>
      <c r="G14" s="30"/>
    </row>
    <row r="15" spans="1:8" ht="16.5" thickBot="1" x14ac:dyDescent="0.3">
      <c r="B15" s="212" t="s">
        <v>266</v>
      </c>
      <c r="C15" s="213"/>
      <c r="D15" s="213"/>
      <c r="E15" s="213"/>
      <c r="F15" s="214"/>
      <c r="G15" s="30"/>
    </row>
    <row r="16" spans="1:8" ht="31.5" x14ac:dyDescent="0.25">
      <c r="B16" s="184" t="s">
        <v>257</v>
      </c>
      <c r="C16" s="180" t="s">
        <v>258</v>
      </c>
      <c r="D16" s="13" t="s">
        <v>259</v>
      </c>
      <c r="E16" s="13" t="s">
        <v>260</v>
      </c>
      <c r="F16" s="185" t="s">
        <v>261</v>
      </c>
      <c r="G16" s="30"/>
    </row>
    <row r="17" spans="2:7" ht="15.75" hidden="1" x14ac:dyDescent="0.25">
      <c r="B17" s="252">
        <v>360</v>
      </c>
      <c r="C17" s="233" t="s">
        <v>263</v>
      </c>
      <c r="D17" s="234">
        <f>1/360</f>
        <v>2.7777777777777779E-3</v>
      </c>
      <c r="E17" s="235">
        <f>E7</f>
        <v>820.18053291654007</v>
      </c>
      <c r="F17" s="236">
        <f>D17*E17</f>
        <v>2.2782792581015001</v>
      </c>
      <c r="G17" s="30"/>
    </row>
    <row r="18" spans="2:7" ht="15.75" hidden="1" x14ac:dyDescent="0.25">
      <c r="B18" s="256"/>
      <c r="C18" s="233" t="s">
        <v>264</v>
      </c>
      <c r="D18" s="233">
        <f>1/(11*360)</f>
        <v>2.5252525252525253E-4</v>
      </c>
      <c r="E18" s="235">
        <f>E8</f>
        <v>820.18053291654007</v>
      </c>
      <c r="F18" s="236">
        <f>D18*E18</f>
        <v>0.20711629619104546</v>
      </c>
      <c r="G18" s="30"/>
    </row>
    <row r="19" spans="2:7" ht="15.75" hidden="1" x14ac:dyDescent="0.25">
      <c r="B19" s="395" t="s">
        <v>32</v>
      </c>
      <c r="C19" s="396"/>
      <c r="D19" s="396"/>
      <c r="E19" s="397"/>
      <c r="F19" s="239">
        <f>SUM(F17:F18)</f>
        <v>2.4853955542925457</v>
      </c>
    </row>
    <row r="20" spans="2:7" x14ac:dyDescent="0.25">
      <c r="B20" s="232">
        <v>450</v>
      </c>
      <c r="C20" s="233" t="s">
        <v>263</v>
      </c>
      <c r="D20" s="234">
        <f>1/450</f>
        <v>2.2222222222222222E-3</v>
      </c>
      <c r="E20" s="235">
        <f>E17</f>
        <v>820.18053291654007</v>
      </c>
      <c r="F20" s="236">
        <f>D20*E20</f>
        <v>1.8226234064812001</v>
      </c>
    </row>
    <row r="21" spans="2:7" x14ac:dyDescent="0.25">
      <c r="B21" s="232"/>
      <c r="C21" s="233" t="s">
        <v>264</v>
      </c>
      <c r="D21" s="233">
        <f>1/(11*450)</f>
        <v>2.0202020202020202E-4</v>
      </c>
      <c r="E21" s="235">
        <f>E18</f>
        <v>820.18053291654007</v>
      </c>
      <c r="F21" s="236">
        <f>D21*E21</f>
        <v>0.16569303695283638</v>
      </c>
    </row>
    <row r="22" spans="2:7" ht="16.5" thickBot="1" x14ac:dyDescent="0.3">
      <c r="B22" s="240" t="s">
        <v>32</v>
      </c>
      <c r="C22" s="241"/>
      <c r="D22" s="241"/>
      <c r="E22" s="241"/>
      <c r="F22" s="242">
        <f>SUM(F20:F21)</f>
        <v>1.9883164434340366</v>
      </c>
    </row>
    <row r="23" spans="2:7" ht="15.75" x14ac:dyDescent="0.25">
      <c r="F23" s="243"/>
    </row>
    <row r="24" spans="2:7" ht="15.75" thickBot="1" x14ac:dyDescent="0.3"/>
    <row r="25" spans="2:7" ht="16.5" thickBot="1" x14ac:dyDescent="0.3">
      <c r="B25" s="212" t="s">
        <v>267</v>
      </c>
      <c r="C25" s="213"/>
      <c r="D25" s="213"/>
      <c r="E25" s="213"/>
      <c r="F25" s="214"/>
    </row>
    <row r="26" spans="2:7" ht="31.5" x14ac:dyDescent="0.25">
      <c r="B26" s="184" t="s">
        <v>257</v>
      </c>
      <c r="C26" s="180" t="s">
        <v>258</v>
      </c>
      <c r="D26" s="13" t="s">
        <v>259</v>
      </c>
      <c r="E26" s="13" t="s">
        <v>260</v>
      </c>
      <c r="F26" s="185" t="s">
        <v>261</v>
      </c>
    </row>
    <row r="27" spans="2:7" hidden="1" x14ac:dyDescent="0.25">
      <c r="B27" s="232">
        <v>1500</v>
      </c>
      <c r="C27" s="233" t="s">
        <v>263</v>
      </c>
      <c r="D27" s="234">
        <f>1/1500</f>
        <v>6.6666666666666664E-4</v>
      </c>
      <c r="E27" s="235">
        <f>E7</f>
        <v>820.18053291654007</v>
      </c>
      <c r="F27" s="236">
        <f>D27*E27</f>
        <v>0.54678702194436002</v>
      </c>
    </row>
    <row r="28" spans="2:7" hidden="1" x14ac:dyDescent="0.25">
      <c r="B28" s="232"/>
      <c r="C28" s="233" t="s">
        <v>264</v>
      </c>
      <c r="D28" s="233">
        <f>1/(11*1500)</f>
        <v>6.0606060606060605E-5</v>
      </c>
      <c r="E28" s="235">
        <f>E8</f>
        <v>820.18053291654007</v>
      </c>
      <c r="F28" s="236">
        <f>D28*E28</f>
        <v>4.970791108585091E-2</v>
      </c>
    </row>
    <row r="29" spans="2:7" ht="15.75" hidden="1" x14ac:dyDescent="0.25">
      <c r="B29" s="237" t="s">
        <v>32</v>
      </c>
      <c r="C29" s="238"/>
      <c r="D29" s="238"/>
      <c r="E29" s="238"/>
      <c r="F29" s="239">
        <f>SUM(F27:F28)</f>
        <v>0.59649493303021095</v>
      </c>
    </row>
    <row r="30" spans="2:7" x14ac:dyDescent="0.25">
      <c r="B30" s="232">
        <v>2500</v>
      </c>
      <c r="C30" s="233" t="s">
        <v>263</v>
      </c>
      <c r="D30" s="234">
        <f>1/2500</f>
        <v>4.0000000000000002E-4</v>
      </c>
      <c r="E30" s="235">
        <f>E27</f>
        <v>820.18053291654007</v>
      </c>
      <c r="F30" s="236">
        <f>D30*E30</f>
        <v>0.32807221316661606</v>
      </c>
    </row>
    <row r="31" spans="2:7" x14ac:dyDescent="0.25">
      <c r="B31" s="232"/>
      <c r="C31" s="233" t="s">
        <v>264</v>
      </c>
      <c r="D31" s="233">
        <f>1/(11*2500)</f>
        <v>3.6363636363636364E-5</v>
      </c>
      <c r="E31" s="235">
        <f>E28</f>
        <v>820.18053291654007</v>
      </c>
      <c r="F31" s="236">
        <f>D31*E31</f>
        <v>2.982474665151055E-2</v>
      </c>
    </row>
    <row r="32" spans="2:7" ht="16.5" thickBot="1" x14ac:dyDescent="0.3">
      <c r="B32" s="240" t="s">
        <v>32</v>
      </c>
      <c r="C32" s="241"/>
      <c r="D32" s="241"/>
      <c r="E32" s="241"/>
      <c r="F32" s="242">
        <f>SUM(F30:F31)</f>
        <v>0.35789695981812658</v>
      </c>
    </row>
    <row r="34" spans="2:6" ht="15.75" thickBot="1" x14ac:dyDescent="0.3"/>
    <row r="35" spans="2:6" ht="16.5" thickBot="1" x14ac:dyDescent="0.3">
      <c r="B35" s="212" t="s">
        <v>268</v>
      </c>
      <c r="C35" s="213"/>
      <c r="D35" s="213"/>
      <c r="E35" s="213"/>
      <c r="F35" s="214"/>
    </row>
    <row r="36" spans="2:6" ht="31.5" x14ac:dyDescent="0.25">
      <c r="B36" s="184" t="s">
        <v>257</v>
      </c>
      <c r="C36" s="180" t="s">
        <v>258</v>
      </c>
      <c r="D36" s="13" t="s">
        <v>259</v>
      </c>
      <c r="E36" s="13" t="s">
        <v>260</v>
      </c>
      <c r="F36" s="185" t="s">
        <v>261</v>
      </c>
    </row>
    <row r="37" spans="2:6" hidden="1" x14ac:dyDescent="0.25">
      <c r="B37" s="232">
        <v>1000</v>
      </c>
      <c r="C37" s="233" t="s">
        <v>263</v>
      </c>
      <c r="D37" s="234">
        <f>1/1000</f>
        <v>1E-3</v>
      </c>
      <c r="E37" s="235">
        <f>E7</f>
        <v>820.18053291654007</v>
      </c>
      <c r="F37" s="236">
        <f>D37*E37</f>
        <v>0.82018053291654014</v>
      </c>
    </row>
    <row r="38" spans="2:6" hidden="1" x14ac:dyDescent="0.25">
      <c r="B38" s="232"/>
      <c r="C38" s="233" t="s">
        <v>264</v>
      </c>
      <c r="D38" s="233">
        <f>1/(11*1000)</f>
        <v>9.0909090909090904E-5</v>
      </c>
      <c r="E38" s="235">
        <f>E8</f>
        <v>820.18053291654007</v>
      </c>
      <c r="F38" s="236">
        <f>D38*E38</f>
        <v>7.4561866628776369E-2</v>
      </c>
    </row>
    <row r="39" spans="2:6" ht="15.75" hidden="1" x14ac:dyDescent="0.25">
      <c r="B39" s="237" t="s">
        <v>32</v>
      </c>
      <c r="C39" s="238"/>
      <c r="D39" s="238"/>
      <c r="E39" s="238"/>
      <c r="F39" s="239">
        <f>SUM(F37:F38)</f>
        <v>0.89474239954531654</v>
      </c>
    </row>
    <row r="40" spans="2:6" x14ac:dyDescent="0.25">
      <c r="B40" s="232">
        <v>1500</v>
      </c>
      <c r="C40" s="233" t="s">
        <v>263</v>
      </c>
      <c r="D40" s="234">
        <f>1/1500</f>
        <v>6.6666666666666664E-4</v>
      </c>
      <c r="E40" s="235">
        <f>E37</f>
        <v>820.18053291654007</v>
      </c>
      <c r="F40" s="236">
        <f>D40*E40</f>
        <v>0.54678702194436002</v>
      </c>
    </row>
    <row r="41" spans="2:6" x14ac:dyDescent="0.25">
      <c r="B41" s="232"/>
      <c r="C41" s="233" t="s">
        <v>264</v>
      </c>
      <c r="D41" s="233">
        <f>1/(11*1500)</f>
        <v>6.0606060606060605E-5</v>
      </c>
      <c r="E41" s="235">
        <f>E38</f>
        <v>820.18053291654007</v>
      </c>
      <c r="F41" s="236">
        <f>D41*E41</f>
        <v>4.970791108585091E-2</v>
      </c>
    </row>
    <row r="42" spans="2:6" ht="16.5" thickBot="1" x14ac:dyDescent="0.3">
      <c r="B42" s="240" t="s">
        <v>32</v>
      </c>
      <c r="C42" s="241"/>
      <c r="D42" s="241"/>
      <c r="E42" s="241"/>
      <c r="F42" s="242">
        <f>SUM(F40:F41)</f>
        <v>0.59649493303021095</v>
      </c>
    </row>
    <row r="44" spans="2:6" ht="15.75" thickBot="1" x14ac:dyDescent="0.3"/>
    <row r="45" spans="2:6" ht="16.5" thickBot="1" x14ac:dyDescent="0.3">
      <c r="B45" s="212" t="s">
        <v>269</v>
      </c>
      <c r="C45" s="213"/>
      <c r="D45" s="213"/>
      <c r="E45" s="213"/>
      <c r="F45" s="214"/>
    </row>
    <row r="46" spans="2:6" ht="31.5" x14ac:dyDescent="0.25">
      <c r="B46" s="184" t="s">
        <v>257</v>
      </c>
      <c r="C46" s="180" t="s">
        <v>258</v>
      </c>
      <c r="D46" s="13" t="s">
        <v>259</v>
      </c>
      <c r="E46" s="13" t="s">
        <v>260</v>
      </c>
      <c r="F46" s="185" t="s">
        <v>261</v>
      </c>
    </row>
    <row r="47" spans="2:6" hidden="1" x14ac:dyDescent="0.25">
      <c r="B47" s="232">
        <v>200</v>
      </c>
      <c r="C47" s="233" t="s">
        <v>263</v>
      </c>
      <c r="D47" s="234">
        <f>1/200</f>
        <v>5.0000000000000001E-3</v>
      </c>
      <c r="E47" s="235">
        <f>E17</f>
        <v>820.18053291654007</v>
      </c>
      <c r="F47" s="236">
        <f>D47*E47</f>
        <v>4.1009026645827005</v>
      </c>
    </row>
    <row r="48" spans="2:6" hidden="1" x14ac:dyDescent="0.25">
      <c r="B48" s="232"/>
      <c r="C48" s="233" t="s">
        <v>264</v>
      </c>
      <c r="D48" s="233">
        <f>1/(11*200)</f>
        <v>4.5454545454545455E-4</v>
      </c>
      <c r="E48" s="235">
        <f>E18</f>
        <v>820.18053291654007</v>
      </c>
      <c r="F48" s="236">
        <f>D48*E48</f>
        <v>0.37280933314388187</v>
      </c>
    </row>
    <row r="49" spans="2:6" ht="15.75" hidden="1" x14ac:dyDescent="0.25">
      <c r="B49" s="237" t="s">
        <v>32</v>
      </c>
      <c r="C49" s="238"/>
      <c r="D49" s="238"/>
      <c r="E49" s="238"/>
      <c r="F49" s="239">
        <f>SUM(F47:F48)</f>
        <v>4.473711997726582</v>
      </c>
    </row>
    <row r="50" spans="2:6" x14ac:dyDescent="0.25">
      <c r="B50" s="232">
        <v>300</v>
      </c>
      <c r="C50" s="233" t="s">
        <v>263</v>
      </c>
      <c r="D50" s="234">
        <f>1/300</f>
        <v>3.3333333333333335E-3</v>
      </c>
      <c r="E50" s="235">
        <f>E47</f>
        <v>820.18053291654007</v>
      </c>
      <c r="F50" s="236">
        <f>D50*E50</f>
        <v>2.7339351097218003</v>
      </c>
    </row>
    <row r="51" spans="2:6" x14ac:dyDescent="0.25">
      <c r="B51" s="232"/>
      <c r="C51" s="233" t="s">
        <v>264</v>
      </c>
      <c r="D51" s="233">
        <f>1/(11*300)</f>
        <v>3.0303030303030303E-4</v>
      </c>
      <c r="E51" s="235">
        <f>E48</f>
        <v>820.18053291654007</v>
      </c>
      <c r="F51" s="236">
        <f>D51*E51</f>
        <v>0.24853955542925457</v>
      </c>
    </row>
    <row r="52" spans="2:6" ht="16.5" thickBot="1" x14ac:dyDescent="0.3">
      <c r="B52" s="240" t="s">
        <v>32</v>
      </c>
      <c r="C52" s="241"/>
      <c r="D52" s="241"/>
      <c r="E52" s="241"/>
      <c r="F52" s="242">
        <f>SUM(F50:F51)</f>
        <v>2.982474665151055</v>
      </c>
    </row>
    <row r="54" spans="2:6" ht="15.75" thickBot="1" x14ac:dyDescent="0.3"/>
    <row r="55" spans="2:6" ht="16.5" thickBot="1" x14ac:dyDescent="0.3">
      <c r="B55" s="212" t="s">
        <v>270</v>
      </c>
      <c r="C55" s="213"/>
      <c r="D55" s="213"/>
      <c r="E55" s="213"/>
      <c r="F55" s="214"/>
    </row>
    <row r="56" spans="2:6" ht="31.5" x14ac:dyDescent="0.25">
      <c r="B56" s="184" t="s">
        <v>271</v>
      </c>
      <c r="C56" s="180" t="s">
        <v>258</v>
      </c>
      <c r="D56" s="13" t="s">
        <v>259</v>
      </c>
      <c r="E56" s="13" t="s">
        <v>260</v>
      </c>
      <c r="F56" s="185" t="s">
        <v>261</v>
      </c>
    </row>
    <row r="57" spans="2:6" hidden="1" x14ac:dyDescent="0.25">
      <c r="B57" s="232">
        <v>6000</v>
      </c>
      <c r="C57" s="233" t="s">
        <v>263</v>
      </c>
      <c r="D57" s="234">
        <f>1/6000</f>
        <v>1.6666666666666666E-4</v>
      </c>
      <c r="E57" s="235">
        <f>E27</f>
        <v>820.18053291654007</v>
      </c>
      <c r="F57" s="236">
        <f>D57*E57</f>
        <v>0.13669675548609</v>
      </c>
    </row>
    <row r="58" spans="2:6" hidden="1" x14ac:dyDescent="0.25">
      <c r="B58" s="232"/>
      <c r="C58" s="233" t="s">
        <v>264</v>
      </c>
      <c r="D58" s="233">
        <f>1/(11*6000)</f>
        <v>1.5151515151515151E-5</v>
      </c>
      <c r="E58" s="235">
        <f>E28</f>
        <v>820.18053291654007</v>
      </c>
      <c r="F58" s="236">
        <f>D58*E58</f>
        <v>1.2426977771462728E-2</v>
      </c>
    </row>
    <row r="59" spans="2:6" ht="15.75" hidden="1" x14ac:dyDescent="0.25">
      <c r="B59" s="237" t="s">
        <v>32</v>
      </c>
      <c r="C59" s="238"/>
      <c r="D59" s="238"/>
      <c r="E59" s="238"/>
      <c r="F59" s="239">
        <f>SUM(F57:F58)</f>
        <v>0.14912373325755274</v>
      </c>
    </row>
    <row r="60" spans="2:6" x14ac:dyDescent="0.25">
      <c r="B60" s="232">
        <v>9000</v>
      </c>
      <c r="C60" s="233" t="s">
        <v>263</v>
      </c>
      <c r="D60" s="234">
        <f>1/9000</f>
        <v>1.1111111111111112E-4</v>
      </c>
      <c r="E60" s="235">
        <f>E57</f>
        <v>820.18053291654007</v>
      </c>
      <c r="F60" s="236">
        <f>D60*E60</f>
        <v>9.1131170324060012E-2</v>
      </c>
    </row>
    <row r="61" spans="2:6" x14ac:dyDescent="0.25">
      <c r="B61" s="232"/>
      <c r="C61" s="233" t="s">
        <v>264</v>
      </c>
      <c r="D61" s="233">
        <f>1/(11*9000)</f>
        <v>1.0101010101010101E-5</v>
      </c>
      <c r="E61" s="235">
        <f>E58</f>
        <v>820.18053291654007</v>
      </c>
      <c r="F61" s="236">
        <f>D61*E61</f>
        <v>8.2846518476418184E-3</v>
      </c>
    </row>
    <row r="62" spans="2:6" ht="16.5" thickBot="1" x14ac:dyDescent="0.3">
      <c r="B62" s="240" t="s">
        <v>32</v>
      </c>
      <c r="C62" s="241"/>
      <c r="D62" s="241"/>
      <c r="E62" s="241"/>
      <c r="F62" s="242">
        <f>SUM(F60:F61)</f>
        <v>9.9415822171701834E-2</v>
      </c>
    </row>
    <row r="64" spans="2:6" ht="15.75" thickBot="1" x14ac:dyDescent="0.3"/>
    <row r="65" spans="1:8" ht="16.5" thickBot="1" x14ac:dyDescent="0.3">
      <c r="B65" s="212" t="s">
        <v>272</v>
      </c>
      <c r="C65" s="213"/>
      <c r="D65" s="213"/>
      <c r="E65" s="213"/>
      <c r="F65" s="214"/>
    </row>
    <row r="66" spans="1:8" ht="31.5" x14ac:dyDescent="0.25">
      <c r="B66" s="184" t="s">
        <v>273</v>
      </c>
      <c r="C66" s="180" t="s">
        <v>258</v>
      </c>
      <c r="D66" s="13" t="s">
        <v>259</v>
      </c>
      <c r="E66" s="13" t="s">
        <v>260</v>
      </c>
      <c r="F66" s="185" t="s">
        <v>261</v>
      </c>
    </row>
    <row r="67" spans="1:8" hidden="1" x14ac:dyDescent="0.25">
      <c r="B67" s="232">
        <v>1800</v>
      </c>
      <c r="C67" s="233" t="s">
        <v>263</v>
      </c>
      <c r="D67" s="234">
        <f>1/1800</f>
        <v>5.5555555555555556E-4</v>
      </c>
      <c r="E67" s="235">
        <f>E37</f>
        <v>820.18053291654007</v>
      </c>
      <c r="F67" s="236">
        <f>D67*E67</f>
        <v>0.45565585162030003</v>
      </c>
    </row>
    <row r="68" spans="1:8" hidden="1" x14ac:dyDescent="0.25">
      <c r="B68" s="232"/>
      <c r="C68" s="233" t="s">
        <v>264</v>
      </c>
      <c r="D68" s="233">
        <f>1/(11*1800)</f>
        <v>5.0505050505050505E-5</v>
      </c>
      <c r="E68" s="235">
        <f>E38</f>
        <v>820.18053291654007</v>
      </c>
      <c r="F68" s="236">
        <f>D68*E68</f>
        <v>4.1423259238209095E-2</v>
      </c>
    </row>
    <row r="69" spans="1:8" ht="15.75" hidden="1" x14ac:dyDescent="0.25">
      <c r="B69" s="237" t="s">
        <v>32</v>
      </c>
      <c r="C69" s="238"/>
      <c r="D69" s="238"/>
      <c r="E69" s="238"/>
      <c r="F69" s="239">
        <f>SUM(F67:F68)</f>
        <v>0.49707911085850914</v>
      </c>
    </row>
    <row r="70" spans="1:8" x14ac:dyDescent="0.25">
      <c r="B70" s="232">
        <v>2700</v>
      </c>
      <c r="C70" s="233" t="s">
        <v>263</v>
      </c>
      <c r="D70" s="234">
        <f>1/2700</f>
        <v>3.7037037037037035E-4</v>
      </c>
      <c r="E70" s="235">
        <f>E67</f>
        <v>820.18053291654007</v>
      </c>
      <c r="F70" s="236">
        <f>D70*E70</f>
        <v>0.30377056774686667</v>
      </c>
    </row>
    <row r="71" spans="1:8" x14ac:dyDescent="0.25">
      <c r="B71" s="232"/>
      <c r="C71" s="233" t="s">
        <v>264</v>
      </c>
      <c r="D71" s="233">
        <f>1/(11*2700)</f>
        <v>3.3670033670033668E-5</v>
      </c>
      <c r="E71" s="235">
        <f>E68</f>
        <v>820.18053291654007</v>
      </c>
      <c r="F71" s="236">
        <f>D71*E71</f>
        <v>2.761550615880606E-2</v>
      </c>
    </row>
    <row r="72" spans="1:8" ht="16.5" thickBot="1" x14ac:dyDescent="0.3">
      <c r="B72" s="240" t="s">
        <v>32</v>
      </c>
      <c r="C72" s="241"/>
      <c r="D72" s="241"/>
      <c r="E72" s="241"/>
      <c r="F72" s="242">
        <f>SUM(F70:F71)</f>
        <v>0.33138607390567271</v>
      </c>
    </row>
    <row r="74" spans="1:8" ht="15.75" thickBot="1" x14ac:dyDescent="0.3"/>
    <row r="75" spans="1:8" ht="18.75" x14ac:dyDescent="0.25">
      <c r="A75" s="244" t="s">
        <v>274</v>
      </c>
      <c r="B75" s="245"/>
      <c r="C75" s="245"/>
      <c r="D75" s="245"/>
      <c r="E75" s="245"/>
      <c r="F75" s="245"/>
      <c r="G75" s="246"/>
      <c r="H75" s="247"/>
    </row>
    <row r="76" spans="1:8" ht="71.25" x14ac:dyDescent="0.25">
      <c r="A76" s="248" t="s">
        <v>275</v>
      </c>
      <c r="B76" s="249" t="s">
        <v>258</v>
      </c>
      <c r="C76" s="250" t="s">
        <v>276</v>
      </c>
      <c r="D76" s="250" t="s">
        <v>277</v>
      </c>
      <c r="E76" s="250" t="s">
        <v>278</v>
      </c>
      <c r="F76" s="250" t="s">
        <v>279</v>
      </c>
      <c r="G76" s="250" t="s">
        <v>280</v>
      </c>
      <c r="H76" s="251" t="s">
        <v>281</v>
      </c>
    </row>
    <row r="77" spans="1:8" hidden="1" x14ac:dyDescent="0.25">
      <c r="A77" s="252">
        <v>130</v>
      </c>
      <c r="B77" s="233" t="s">
        <v>263</v>
      </c>
      <c r="C77" s="234">
        <f>1/130</f>
        <v>7.6923076923076927E-3</v>
      </c>
      <c r="D77" s="253">
        <v>16</v>
      </c>
      <c r="E77" s="233">
        <f>1/188.76</f>
        <v>5.2977325704598437E-3</v>
      </c>
      <c r="F77" s="254">
        <f>C77*D77*E77</f>
        <v>6.5202862405659614E-4</v>
      </c>
      <c r="G77" s="235">
        <f>E7</f>
        <v>820.18053291654007</v>
      </c>
      <c r="H77" s="255">
        <f>G77*F77</f>
        <v>0.53478118435557742</v>
      </c>
    </row>
    <row r="78" spans="1:8" hidden="1" x14ac:dyDescent="0.25">
      <c r="A78" s="256"/>
      <c r="B78" s="233" t="s">
        <v>264</v>
      </c>
      <c r="C78" s="233">
        <f>1/(11*130)</f>
        <v>6.993006993006993E-4</v>
      </c>
      <c r="D78" s="253">
        <v>16</v>
      </c>
      <c r="E78" s="233">
        <f>1/188.76</f>
        <v>5.2977325704598437E-3</v>
      </c>
      <c r="F78" s="254">
        <f>C78*D78*E78</f>
        <v>5.9275329459690558E-5</v>
      </c>
      <c r="G78" s="235">
        <f>E8</f>
        <v>820.18053291654007</v>
      </c>
      <c r="H78" s="255">
        <f>G78*F78</f>
        <v>4.8616471305052492E-2</v>
      </c>
    </row>
    <row r="79" spans="1:8" ht="15.75" hidden="1" x14ac:dyDescent="0.25">
      <c r="A79" s="257" t="s">
        <v>32</v>
      </c>
      <c r="B79" s="258"/>
      <c r="C79" s="258"/>
      <c r="D79" s="258"/>
      <c r="E79" s="258"/>
      <c r="F79" s="258"/>
      <c r="G79" s="259"/>
      <c r="H79" s="239">
        <f>SUM(H77:H78)</f>
        <v>0.58339765566062995</v>
      </c>
    </row>
    <row r="80" spans="1:8" x14ac:dyDescent="0.25">
      <c r="A80" s="252">
        <f>380*15</f>
        <v>5700</v>
      </c>
      <c r="B80" s="233" t="s">
        <v>263</v>
      </c>
      <c r="C80" s="234">
        <f>1/5700</f>
        <v>1.7543859649122806E-4</v>
      </c>
      <c r="D80" s="253">
        <v>19.53</v>
      </c>
      <c r="E80" s="233">
        <f>1/188.76</f>
        <v>5.2977325704598437E-3</v>
      </c>
      <c r="F80" s="254">
        <f>C80*D80*E80</f>
        <v>1.8151704754575569E-5</v>
      </c>
      <c r="G80" s="235">
        <f>E10</f>
        <v>820.18053291654007</v>
      </c>
      <c r="H80" s="255">
        <f>G80*F80</f>
        <v>1.4887674878951485E-2</v>
      </c>
    </row>
    <row r="81" spans="1:8" x14ac:dyDescent="0.25">
      <c r="A81" s="256"/>
      <c r="B81" s="233" t="s">
        <v>264</v>
      </c>
      <c r="C81" s="233">
        <f>1/(11*5700)</f>
        <v>1.5948963317384372E-5</v>
      </c>
      <c r="D81" s="253">
        <v>19.53</v>
      </c>
      <c r="E81" s="233">
        <f>1/188.76</f>
        <v>5.2977325704598437E-3</v>
      </c>
      <c r="F81" s="254">
        <f>C81*D81*E81</f>
        <v>1.6501549776886885E-6</v>
      </c>
      <c r="G81" s="235">
        <f>E11</f>
        <v>820.18053291654007</v>
      </c>
      <c r="H81" s="255">
        <f>G81*F81</f>
        <v>1.3534249889955898E-3</v>
      </c>
    </row>
    <row r="82" spans="1:8" ht="16.5" thickBot="1" x14ac:dyDescent="0.3">
      <c r="A82" s="260" t="s">
        <v>32</v>
      </c>
      <c r="B82" s="261"/>
      <c r="C82" s="261"/>
      <c r="D82" s="261"/>
      <c r="E82" s="261"/>
      <c r="F82" s="261"/>
      <c r="G82" s="262"/>
      <c r="H82" s="242">
        <f>SUM(H80:H81)</f>
        <v>1.6241099867947074E-2</v>
      </c>
    </row>
    <row r="83" spans="1:8" ht="15.75" thickBot="1" x14ac:dyDescent="0.3"/>
    <row r="84" spans="1:8" ht="18.75" x14ac:dyDescent="0.25">
      <c r="A84" s="244" t="s">
        <v>282</v>
      </c>
      <c r="B84" s="245"/>
      <c r="C84" s="245"/>
      <c r="D84" s="245"/>
      <c r="E84" s="245"/>
      <c r="F84" s="245"/>
      <c r="G84" s="246"/>
      <c r="H84" s="247"/>
    </row>
    <row r="85" spans="1:8" ht="71.25" x14ac:dyDescent="0.25">
      <c r="A85" s="248" t="s">
        <v>275</v>
      </c>
      <c r="B85" s="249" t="s">
        <v>258</v>
      </c>
      <c r="C85" s="250" t="s">
        <v>276</v>
      </c>
      <c r="D85" s="250" t="s">
        <v>277</v>
      </c>
      <c r="E85" s="250" t="s">
        <v>278</v>
      </c>
      <c r="F85" s="250" t="s">
        <v>279</v>
      </c>
      <c r="G85" s="250" t="s">
        <v>283</v>
      </c>
      <c r="H85" s="251" t="s">
        <v>281</v>
      </c>
    </row>
    <row r="86" spans="1:8" hidden="1" x14ac:dyDescent="0.25">
      <c r="A86" s="252">
        <v>130</v>
      </c>
      <c r="B86" s="233" t="s">
        <v>263</v>
      </c>
      <c r="C86" s="234">
        <f>1/130</f>
        <v>7.6923076923076927E-3</v>
      </c>
      <c r="D86" s="253">
        <v>16</v>
      </c>
      <c r="E86" s="233">
        <f>1/188.76</f>
        <v>5.2977325704598437E-3</v>
      </c>
      <c r="F86" s="254">
        <f>C86*D86*E86</f>
        <v>6.5202862405659614E-4</v>
      </c>
      <c r="G86" s="235">
        <f>G80</f>
        <v>820.18053291654007</v>
      </c>
      <c r="H86" s="255">
        <f>G86*F86</f>
        <v>0.53478118435557742</v>
      </c>
    </row>
    <row r="87" spans="1:8" hidden="1" x14ac:dyDescent="0.25">
      <c r="A87" s="256"/>
      <c r="B87" s="233" t="s">
        <v>264</v>
      </c>
      <c r="C87" s="233">
        <f>1/(11*130)</f>
        <v>6.993006993006993E-4</v>
      </c>
      <c r="D87" s="253">
        <v>16</v>
      </c>
      <c r="E87" s="233">
        <f>1/188.76</f>
        <v>5.2977325704598437E-3</v>
      </c>
      <c r="F87" s="254">
        <f>C87*D87*E87</f>
        <v>5.9275329459690558E-5</v>
      </c>
      <c r="G87" s="235">
        <f>G81</f>
        <v>820.18053291654007</v>
      </c>
      <c r="H87" s="255">
        <f>G87*F87</f>
        <v>4.8616471305052492E-2</v>
      </c>
    </row>
    <row r="88" spans="1:8" ht="15.75" hidden="1" x14ac:dyDescent="0.25">
      <c r="A88" s="257" t="s">
        <v>32</v>
      </c>
      <c r="B88" s="258"/>
      <c r="C88" s="258"/>
      <c r="D88" s="258"/>
      <c r="E88" s="258"/>
      <c r="F88" s="258"/>
      <c r="G88" s="259"/>
      <c r="H88" s="239">
        <f>SUM(H86:H87)</f>
        <v>0.58339765566062995</v>
      </c>
    </row>
    <row r="89" spans="1:8" x14ac:dyDescent="0.25">
      <c r="A89" s="252">
        <f>160*15</f>
        <v>2400</v>
      </c>
      <c r="B89" s="233" t="s">
        <v>263</v>
      </c>
      <c r="C89" s="234">
        <f>1/2400</f>
        <v>4.1666666666666669E-4</v>
      </c>
      <c r="D89" s="253">
        <v>36.81</v>
      </c>
      <c r="E89" s="233">
        <f>1/188.76</f>
        <v>5.2977325704598437E-3</v>
      </c>
      <c r="F89" s="254">
        <f>C89*D89*E89</f>
        <v>8.1253973299427859E-5</v>
      </c>
      <c r="G89" s="235">
        <f>G86</f>
        <v>820.18053291654007</v>
      </c>
      <c r="H89" s="255">
        <f>G89*F89</f>
        <v>6.6642927122311055E-2</v>
      </c>
    </row>
    <row r="90" spans="1:8" x14ac:dyDescent="0.25">
      <c r="A90" s="256"/>
      <c r="B90" s="233" t="s">
        <v>264</v>
      </c>
      <c r="C90" s="233">
        <f>1/(11*2400)</f>
        <v>3.7878787878787879E-5</v>
      </c>
      <c r="D90" s="253">
        <v>36.81</v>
      </c>
      <c r="E90" s="233">
        <f>1/188.76</f>
        <v>5.2977325704598437E-3</v>
      </c>
      <c r="F90" s="254">
        <f>C90*D90*E90</f>
        <v>7.3867248454025322E-6</v>
      </c>
      <c r="G90" s="235">
        <f>G87</f>
        <v>820.18053291654007</v>
      </c>
      <c r="H90" s="255">
        <f>G90*F90</f>
        <v>6.0584479202100963E-3</v>
      </c>
    </row>
    <row r="91" spans="1:8" ht="16.5" thickBot="1" x14ac:dyDescent="0.3">
      <c r="A91" s="260" t="s">
        <v>32</v>
      </c>
      <c r="B91" s="261"/>
      <c r="C91" s="261"/>
      <c r="D91" s="261"/>
      <c r="E91" s="261"/>
      <c r="F91" s="261"/>
      <c r="G91" s="262"/>
      <c r="H91" s="242">
        <f>SUM(H89:H90)</f>
        <v>7.2701375042521152E-2</v>
      </c>
    </row>
    <row r="93" spans="1:8" ht="15.75" thickBot="1" x14ac:dyDescent="0.3"/>
    <row r="94" spans="1:8" ht="18.75" x14ac:dyDescent="0.25">
      <c r="A94" s="244" t="s">
        <v>284</v>
      </c>
      <c r="B94" s="245"/>
      <c r="C94" s="245"/>
      <c r="D94" s="245"/>
      <c r="E94" s="245"/>
      <c r="F94" s="245"/>
      <c r="G94" s="246"/>
      <c r="H94" s="247"/>
    </row>
    <row r="95" spans="1:8" ht="71.25" x14ac:dyDescent="0.25">
      <c r="A95" s="248" t="s">
        <v>275</v>
      </c>
      <c r="B95" s="249" t="s">
        <v>258</v>
      </c>
      <c r="C95" s="250" t="s">
        <v>276</v>
      </c>
      <c r="D95" s="250" t="s">
        <v>277</v>
      </c>
      <c r="E95" s="250" t="s">
        <v>278</v>
      </c>
      <c r="F95" s="250" t="s">
        <v>279</v>
      </c>
      <c r="G95" s="250" t="s">
        <v>283</v>
      </c>
      <c r="H95" s="251" t="s">
        <v>281</v>
      </c>
    </row>
    <row r="96" spans="1:8" hidden="1" x14ac:dyDescent="0.25">
      <c r="A96" s="252">
        <v>300</v>
      </c>
      <c r="B96" s="233" t="s">
        <v>263</v>
      </c>
      <c r="C96" s="234">
        <f>1/300</f>
        <v>3.3333333333333335E-3</v>
      </c>
      <c r="D96" s="253">
        <f>D89</f>
        <v>36.81</v>
      </c>
      <c r="E96" s="233">
        <f>1/188.76</f>
        <v>5.2977325704598437E-3</v>
      </c>
      <c r="F96" s="254">
        <f>C96*D96*E96</f>
        <v>6.5003178639542287E-4</v>
      </c>
      <c r="G96" s="235">
        <f>G89</f>
        <v>820.18053291654007</v>
      </c>
      <c r="H96" s="255">
        <f>G96*F96</f>
        <v>0.53314341697848844</v>
      </c>
    </row>
    <row r="97" spans="1:8" hidden="1" x14ac:dyDescent="0.25">
      <c r="A97" s="256"/>
      <c r="B97" s="233" t="s">
        <v>264</v>
      </c>
      <c r="C97" s="233">
        <f>1/(11*300)</f>
        <v>3.0303030303030303E-4</v>
      </c>
      <c r="D97" s="253">
        <v>16</v>
      </c>
      <c r="E97" s="233">
        <f>1/188.76</f>
        <v>5.2977325704598437E-3</v>
      </c>
      <c r="F97" s="254">
        <f>C97*D97*E97</f>
        <v>2.5685976099199243E-5</v>
      </c>
      <c r="G97" s="235">
        <f>G90</f>
        <v>820.18053291654007</v>
      </c>
      <c r="H97" s="255">
        <f>G97*F97</f>
        <v>2.1067137565522746E-2</v>
      </c>
    </row>
    <row r="98" spans="1:8" ht="15.75" hidden="1" x14ac:dyDescent="0.25">
      <c r="A98" s="257" t="s">
        <v>32</v>
      </c>
      <c r="B98" s="258"/>
      <c r="C98" s="258"/>
      <c r="D98" s="258"/>
      <c r="E98" s="258"/>
      <c r="F98" s="258"/>
      <c r="G98" s="259"/>
      <c r="H98" s="239">
        <f>SUM(H96:H97)</f>
        <v>0.55421055454401114</v>
      </c>
    </row>
    <row r="99" spans="1:8" x14ac:dyDescent="0.25">
      <c r="A99" s="252">
        <f>380*15</f>
        <v>5700</v>
      </c>
      <c r="B99" s="233" t="s">
        <v>263</v>
      </c>
      <c r="C99" s="234">
        <f>1/5700</f>
        <v>1.7543859649122806E-4</v>
      </c>
      <c r="D99" s="253">
        <v>101.28</v>
      </c>
      <c r="E99" s="233">
        <f>1/188.76</f>
        <v>5.2977325704598437E-3</v>
      </c>
      <c r="F99" s="254">
        <f>C99*D99*E99</f>
        <v>9.4132342936170698E-5</v>
      </c>
      <c r="G99" s="235">
        <f>G96</f>
        <v>820.18053291654007</v>
      </c>
      <c r="H99" s="255">
        <f>G99*F99</f>
        <v>7.7205515194070984E-2</v>
      </c>
    </row>
    <row r="100" spans="1:8" x14ac:dyDescent="0.25">
      <c r="A100" s="256"/>
      <c r="B100" s="233" t="s">
        <v>264</v>
      </c>
      <c r="C100" s="233">
        <f>1/(11*5700)</f>
        <v>1.5948963317384372E-5</v>
      </c>
      <c r="D100" s="253">
        <v>101.28</v>
      </c>
      <c r="E100" s="233">
        <f>1/188.76</f>
        <v>5.2977325704598437E-3</v>
      </c>
      <c r="F100" s="254">
        <f>C100*D100*E100</f>
        <v>8.5574857214700652E-6</v>
      </c>
      <c r="G100" s="235">
        <f>G97</f>
        <v>820.18053291654007</v>
      </c>
      <c r="H100" s="255">
        <f>G100*F100</f>
        <v>7.0186831994610002E-3</v>
      </c>
    </row>
    <row r="101" spans="1:8" ht="16.5" thickBot="1" x14ac:dyDescent="0.3">
      <c r="A101" s="260" t="s">
        <v>32</v>
      </c>
      <c r="B101" s="261"/>
      <c r="C101" s="261"/>
      <c r="D101" s="261"/>
      <c r="E101" s="261"/>
      <c r="F101" s="261"/>
      <c r="G101" s="262"/>
      <c r="H101" s="242">
        <f>SUM(H99:H100)</f>
        <v>8.4224198393531985E-2</v>
      </c>
    </row>
  </sheetData>
  <mergeCells count="45">
    <mergeCell ref="A94:G94"/>
    <mergeCell ref="A96:A97"/>
    <mergeCell ref="A99:A100"/>
    <mergeCell ref="A75:G75"/>
    <mergeCell ref="A77:A78"/>
    <mergeCell ref="A80:A81"/>
    <mergeCell ref="A84:G84"/>
    <mergeCell ref="A86:A87"/>
    <mergeCell ref="A89:A90"/>
    <mergeCell ref="B62:E62"/>
    <mergeCell ref="B65:F65"/>
    <mergeCell ref="B67:B68"/>
    <mergeCell ref="B69:E69"/>
    <mergeCell ref="B70:B71"/>
    <mergeCell ref="B72:E72"/>
    <mergeCell ref="B50:B51"/>
    <mergeCell ref="B52:E52"/>
    <mergeCell ref="B55:F55"/>
    <mergeCell ref="B57:B58"/>
    <mergeCell ref="B59:E59"/>
    <mergeCell ref="B60:B61"/>
    <mergeCell ref="B39:E39"/>
    <mergeCell ref="B40:B41"/>
    <mergeCell ref="B42:E42"/>
    <mergeCell ref="B45:F45"/>
    <mergeCell ref="B47:B48"/>
    <mergeCell ref="B49:E49"/>
    <mergeCell ref="B27:B28"/>
    <mergeCell ref="B29:E29"/>
    <mergeCell ref="B30:B31"/>
    <mergeCell ref="B32:E32"/>
    <mergeCell ref="B35:F35"/>
    <mergeCell ref="B37:B38"/>
    <mergeCell ref="B15:F15"/>
    <mergeCell ref="B17:B18"/>
    <mergeCell ref="B19:E19"/>
    <mergeCell ref="B20:B21"/>
    <mergeCell ref="B22:E22"/>
    <mergeCell ref="B25:F25"/>
    <mergeCell ref="A3:H3"/>
    <mergeCell ref="B5:F5"/>
    <mergeCell ref="B7:B8"/>
    <mergeCell ref="B9:E9"/>
    <mergeCell ref="B10:B11"/>
    <mergeCell ref="B12:E12"/>
  </mergeCells>
  <conditionalFormatting sqref="C7:C8">
    <cfRule type="duplicateValues" dxfId="38" priority="39"/>
  </conditionalFormatting>
  <conditionalFormatting sqref="C10">
    <cfRule type="duplicateValues" dxfId="37" priority="38"/>
  </conditionalFormatting>
  <conditionalFormatting sqref="C37">
    <cfRule type="duplicateValues" dxfId="36" priority="37"/>
  </conditionalFormatting>
  <conditionalFormatting sqref="C40">
    <cfRule type="duplicateValues" dxfId="35" priority="36"/>
  </conditionalFormatting>
  <conditionalFormatting sqref="B77">
    <cfRule type="duplicateValues" dxfId="34" priority="35"/>
  </conditionalFormatting>
  <conditionalFormatting sqref="B80">
    <cfRule type="duplicateValues" dxfId="33" priority="34"/>
  </conditionalFormatting>
  <conditionalFormatting sqref="C17">
    <cfRule type="duplicateValues" dxfId="32" priority="33"/>
  </conditionalFormatting>
  <conditionalFormatting sqref="C20">
    <cfRule type="duplicateValues" dxfId="31" priority="32"/>
  </conditionalFormatting>
  <conditionalFormatting sqref="C27">
    <cfRule type="duplicateValues" dxfId="30" priority="31"/>
  </conditionalFormatting>
  <conditionalFormatting sqref="C30">
    <cfRule type="duplicateValues" dxfId="29" priority="30"/>
  </conditionalFormatting>
  <conditionalFormatting sqref="C47">
    <cfRule type="duplicateValues" dxfId="28" priority="29"/>
  </conditionalFormatting>
  <conditionalFormatting sqref="C50">
    <cfRule type="duplicateValues" dxfId="27" priority="28"/>
  </conditionalFormatting>
  <conditionalFormatting sqref="C57">
    <cfRule type="duplicateValues" dxfId="26" priority="27"/>
  </conditionalFormatting>
  <conditionalFormatting sqref="C60">
    <cfRule type="duplicateValues" dxfId="25" priority="26"/>
  </conditionalFormatting>
  <conditionalFormatting sqref="B86">
    <cfRule type="duplicateValues" dxfId="24" priority="25"/>
  </conditionalFormatting>
  <conditionalFormatting sqref="B89">
    <cfRule type="duplicateValues" dxfId="23" priority="24"/>
  </conditionalFormatting>
  <conditionalFormatting sqref="C67">
    <cfRule type="duplicateValues" dxfId="22" priority="23"/>
  </conditionalFormatting>
  <conditionalFormatting sqref="C70">
    <cfRule type="duplicateValues" dxfId="21" priority="22"/>
  </conditionalFormatting>
  <conditionalFormatting sqref="B96">
    <cfRule type="duplicateValues" dxfId="20" priority="21"/>
  </conditionalFormatting>
  <conditionalFormatting sqref="B99">
    <cfRule type="duplicateValues" dxfId="19" priority="20"/>
  </conditionalFormatting>
  <conditionalFormatting sqref="C11">
    <cfRule type="duplicateValues" dxfId="18" priority="19"/>
  </conditionalFormatting>
  <conditionalFormatting sqref="C18">
    <cfRule type="duplicateValues" dxfId="17" priority="18"/>
  </conditionalFormatting>
  <conditionalFormatting sqref="C21">
    <cfRule type="duplicateValues" dxfId="16" priority="17"/>
  </conditionalFormatting>
  <conditionalFormatting sqref="C28">
    <cfRule type="duplicateValues" dxfId="15" priority="16"/>
  </conditionalFormatting>
  <conditionalFormatting sqref="C31">
    <cfRule type="duplicateValues" dxfId="14" priority="15"/>
  </conditionalFormatting>
  <conditionalFormatting sqref="C38">
    <cfRule type="duplicateValues" dxfId="13" priority="14"/>
  </conditionalFormatting>
  <conditionalFormatting sqref="C41">
    <cfRule type="duplicateValues" dxfId="12" priority="13"/>
  </conditionalFormatting>
  <conditionalFormatting sqref="C48">
    <cfRule type="duplicateValues" dxfId="11" priority="12"/>
  </conditionalFormatting>
  <conditionalFormatting sqref="C51">
    <cfRule type="duplicateValues" dxfId="10" priority="11"/>
  </conditionalFormatting>
  <conditionalFormatting sqref="C58">
    <cfRule type="duplicateValues" dxfId="9" priority="10"/>
  </conditionalFormatting>
  <conditionalFormatting sqref="C61">
    <cfRule type="duplicateValues" dxfId="8" priority="9"/>
  </conditionalFormatting>
  <conditionalFormatting sqref="C68">
    <cfRule type="duplicateValues" dxfId="7" priority="8"/>
  </conditionalFormatting>
  <conditionalFormatting sqref="C71">
    <cfRule type="duplicateValues" dxfId="6" priority="7"/>
  </conditionalFormatting>
  <conditionalFormatting sqref="B78">
    <cfRule type="duplicateValues" dxfId="5" priority="6"/>
  </conditionalFormatting>
  <conditionalFormatting sqref="B81">
    <cfRule type="duplicateValues" dxfId="4" priority="5"/>
  </conditionalFormatting>
  <conditionalFormatting sqref="B87">
    <cfRule type="duplicateValues" dxfId="3" priority="4"/>
  </conditionalFormatting>
  <conditionalFormatting sqref="B90">
    <cfRule type="duplicateValues" dxfId="2" priority="3"/>
  </conditionalFormatting>
  <conditionalFormatting sqref="B97">
    <cfRule type="duplicateValues" dxfId="1" priority="2"/>
  </conditionalFormatting>
  <conditionalFormatting sqref="B100">
    <cfRule type="duplicateValues" dxfId="0" priority="1"/>
  </conditionalFormatting>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16" workbookViewId="0">
      <selection activeCell="H35" sqref="H35"/>
    </sheetView>
  </sheetViews>
  <sheetFormatPr defaultRowHeight="15" x14ac:dyDescent="0.25"/>
  <cols>
    <col min="2" max="2" width="11.7109375" customWidth="1"/>
    <col min="3" max="3" width="21" customWidth="1"/>
    <col min="4" max="4" width="10.7109375" customWidth="1"/>
    <col min="6" max="6" width="14" customWidth="1"/>
    <col min="7" max="7" width="15.7109375" customWidth="1"/>
    <col min="8" max="8" width="19.7109375" customWidth="1"/>
  </cols>
  <sheetData>
    <row r="1" spans="1:8" x14ac:dyDescent="0.25">
      <c r="A1" s="263"/>
      <c r="B1" s="263"/>
      <c r="C1" s="263"/>
      <c r="D1" s="263"/>
      <c r="E1" s="263"/>
      <c r="F1" s="263"/>
      <c r="G1" s="263"/>
      <c r="H1" s="263"/>
    </row>
    <row r="2" spans="1:8" ht="15.75" x14ac:dyDescent="0.25">
      <c r="A2" s="215" t="s">
        <v>313</v>
      </c>
      <c r="B2" s="215"/>
      <c r="C2" s="215"/>
      <c r="D2" s="215"/>
      <c r="E2" s="215"/>
      <c r="F2" s="215"/>
      <c r="G2" s="215"/>
      <c r="H2" s="215"/>
    </row>
    <row r="3" spans="1:8" x14ac:dyDescent="0.25">
      <c r="A3" s="264"/>
      <c r="B3" s="264"/>
    </row>
    <row r="4" spans="1:8" ht="15.75" x14ac:dyDescent="0.25">
      <c r="A4" s="215" t="s">
        <v>285</v>
      </c>
      <c r="B4" s="215"/>
      <c r="C4" s="215"/>
      <c r="D4" s="215"/>
      <c r="E4" s="215"/>
      <c r="F4" s="215"/>
      <c r="G4" s="215"/>
      <c r="H4" s="215"/>
    </row>
    <row r="5" spans="1:8" x14ac:dyDescent="0.25">
      <c r="A5" s="265" t="s">
        <v>286</v>
      </c>
      <c r="B5" s="266"/>
      <c r="C5" s="266"/>
      <c r="D5" s="266"/>
      <c r="E5" s="266"/>
      <c r="F5" s="266"/>
      <c r="G5" s="266"/>
      <c r="H5" s="266"/>
    </row>
    <row r="6" spans="1:8" ht="15.75" thickBot="1" x14ac:dyDescent="0.3"/>
    <row r="7" spans="1:8" x14ac:dyDescent="0.25">
      <c r="A7" s="267" t="s">
        <v>287</v>
      </c>
      <c r="B7" s="268"/>
      <c r="C7" s="268"/>
      <c r="D7" s="268"/>
      <c r="E7" s="268"/>
      <c r="F7" s="268"/>
      <c r="G7" s="268"/>
      <c r="H7" s="269"/>
    </row>
    <row r="8" spans="1:8" x14ac:dyDescent="0.25">
      <c r="A8" s="270" t="s">
        <v>154</v>
      </c>
      <c r="B8" s="271" t="s">
        <v>288</v>
      </c>
      <c r="C8" s="271"/>
      <c r="D8" s="272" t="s">
        <v>289</v>
      </c>
      <c r="E8" s="272" t="s">
        <v>290</v>
      </c>
      <c r="F8" s="272" t="s">
        <v>291</v>
      </c>
      <c r="G8" s="272" t="s">
        <v>292</v>
      </c>
      <c r="H8" s="273" t="s">
        <v>293</v>
      </c>
    </row>
    <row r="9" spans="1:8" ht="15.75" thickBot="1" x14ac:dyDescent="0.3">
      <c r="A9" s="274"/>
      <c r="B9" s="275"/>
      <c r="C9" s="275"/>
      <c r="D9" s="276"/>
      <c r="E9" s="276"/>
      <c r="F9" s="276"/>
      <c r="G9" s="276"/>
      <c r="H9" s="277"/>
    </row>
    <row r="10" spans="1:8" x14ac:dyDescent="0.25">
      <c r="A10" s="278" t="s">
        <v>294</v>
      </c>
      <c r="B10" s="279" t="s">
        <v>295</v>
      </c>
      <c r="C10" s="280" t="s">
        <v>296</v>
      </c>
      <c r="D10" s="281">
        <f>Complemento!F12</f>
        <v>0.74561866628776374</v>
      </c>
      <c r="E10" s="282">
        <v>1200</v>
      </c>
      <c r="F10" s="283">
        <v>2792.0639999999989</v>
      </c>
      <c r="G10" s="284">
        <v>2290.1522772684875</v>
      </c>
      <c r="H10" s="393">
        <f>D10*G10</f>
        <v>1707.5802865728147</v>
      </c>
    </row>
    <row r="11" spans="1:8" x14ac:dyDescent="0.25">
      <c r="A11" s="278"/>
      <c r="B11" s="279"/>
      <c r="C11" s="285" t="s">
        <v>297</v>
      </c>
      <c r="D11" s="286">
        <f>Complemento!F22</f>
        <v>1.9883164434340366</v>
      </c>
      <c r="E11" s="287">
        <v>450</v>
      </c>
      <c r="F11" s="288">
        <v>1633.1089999999995</v>
      </c>
      <c r="G11" s="289">
        <v>626.78150688068126</v>
      </c>
      <c r="H11" s="394">
        <f t="shared" ref="H11:H19" si="0">D11*G11</f>
        <v>1246.2399765712223</v>
      </c>
    </row>
    <row r="12" spans="1:8" x14ac:dyDescent="0.25">
      <c r="A12" s="278"/>
      <c r="B12" s="279"/>
      <c r="C12" s="285" t="s">
        <v>298</v>
      </c>
      <c r="D12" s="286">
        <f>Complemento!F32</f>
        <v>0.35789695981812658</v>
      </c>
      <c r="E12" s="287">
        <v>2500</v>
      </c>
      <c r="F12" s="288">
        <v>275.40549999999996</v>
      </c>
      <c r="G12" s="289">
        <v>179.99217935349321</v>
      </c>
      <c r="H12" s="394">
        <f t="shared" si="0"/>
        <v>64.4186537816542</v>
      </c>
    </row>
    <row r="13" spans="1:8" ht="25.5" x14ac:dyDescent="0.25">
      <c r="A13" s="278"/>
      <c r="B13" s="279"/>
      <c r="C13" s="285" t="s">
        <v>299</v>
      </c>
      <c r="D13" s="286">
        <f>Complemento!F42</f>
        <v>0.59649493303021095</v>
      </c>
      <c r="E13" s="287">
        <v>1500</v>
      </c>
      <c r="F13" s="288">
        <v>1604.5625000000002</v>
      </c>
      <c r="G13" s="289">
        <v>1531.9328142777706</v>
      </c>
      <c r="H13" s="394">
        <f t="shared" si="0"/>
        <v>913.79016145940136</v>
      </c>
    </row>
    <row r="14" spans="1:8" x14ac:dyDescent="0.25">
      <c r="A14" s="278"/>
      <c r="B14" s="290"/>
      <c r="C14" s="285" t="s">
        <v>300</v>
      </c>
      <c r="D14" s="286">
        <f>Complemento!F52</f>
        <v>2.982474665151055</v>
      </c>
      <c r="E14" s="287">
        <v>300</v>
      </c>
      <c r="F14" s="288">
        <v>304.065</v>
      </c>
      <c r="G14" s="289">
        <v>162.85714285714289</v>
      </c>
      <c r="H14" s="394">
        <f t="shared" si="0"/>
        <v>485.71730261031479</v>
      </c>
    </row>
    <row r="15" spans="1:8" ht="25.5" x14ac:dyDescent="0.25">
      <c r="A15" s="278"/>
      <c r="B15" s="291" t="s">
        <v>301</v>
      </c>
      <c r="C15" s="285" t="s">
        <v>302</v>
      </c>
      <c r="D15" s="286">
        <f>Complemento!F62</f>
        <v>9.9415822171701834E-2</v>
      </c>
      <c r="E15" s="287">
        <v>9000</v>
      </c>
      <c r="F15" s="288">
        <v>1209.1000000000001</v>
      </c>
      <c r="G15" s="289">
        <v>914.44537815126068</v>
      </c>
      <c r="H15" s="394">
        <f t="shared" si="0"/>
        <v>90.910339100020366</v>
      </c>
    </row>
    <row r="16" spans="1:8" ht="38.25" x14ac:dyDescent="0.25">
      <c r="A16" s="278"/>
      <c r="B16" s="290"/>
      <c r="C16" s="285" t="s">
        <v>303</v>
      </c>
      <c r="D16" s="286">
        <f>Complemento!F72</f>
        <v>0.33138607390567271</v>
      </c>
      <c r="E16" s="287">
        <v>2700</v>
      </c>
      <c r="F16" s="288">
        <v>865.66800000000001</v>
      </c>
      <c r="G16" s="289">
        <v>779.10120000000006</v>
      </c>
      <c r="H16" s="394">
        <f t="shared" si="0"/>
        <v>258.18328784319829</v>
      </c>
    </row>
    <row r="17" spans="1:8" ht="25.5" x14ac:dyDescent="0.25">
      <c r="A17" s="278"/>
      <c r="B17" s="291" t="s">
        <v>304</v>
      </c>
      <c r="C17" s="285" t="s">
        <v>305</v>
      </c>
      <c r="D17" s="286">
        <f>Complemento!H91</f>
        <v>7.2701375042521152E-2</v>
      </c>
      <c r="E17" s="287">
        <f>160*15</f>
        <v>2400</v>
      </c>
      <c r="F17" s="292">
        <v>360.66300000000001</v>
      </c>
      <c r="G17" s="289">
        <v>283.3780714285715</v>
      </c>
      <c r="H17" s="394">
        <f t="shared" si="0"/>
        <v>20.601975449754924</v>
      </c>
    </row>
    <row r="18" spans="1:8" ht="25.5" x14ac:dyDescent="0.25">
      <c r="A18" s="278"/>
      <c r="B18" s="279"/>
      <c r="C18" s="285" t="s">
        <v>306</v>
      </c>
      <c r="D18" s="286">
        <f>Complemento!H82</f>
        <v>1.6241099867947074E-2</v>
      </c>
      <c r="E18" s="287">
        <f>380*15</f>
        <v>5700</v>
      </c>
      <c r="F18" s="292">
        <v>312.46600000000001</v>
      </c>
      <c r="G18" s="289">
        <v>583.08387500000003</v>
      </c>
      <c r="H18" s="394">
        <f t="shared" si="0"/>
        <v>9.469923445264568</v>
      </c>
    </row>
    <row r="19" spans="1:8" x14ac:dyDescent="0.25">
      <c r="A19" s="278"/>
      <c r="B19" s="290"/>
      <c r="C19" s="285" t="s">
        <v>307</v>
      </c>
      <c r="D19" s="286">
        <f>Complemento!H101</f>
        <v>8.4224198393531985E-2</v>
      </c>
      <c r="E19" s="287">
        <f>380*15</f>
        <v>5700</v>
      </c>
      <c r="F19" s="292">
        <v>1255.3858000000002</v>
      </c>
      <c r="G19" s="289">
        <v>2342.639573214286</v>
      </c>
      <c r="H19" s="394">
        <f t="shared" si="0"/>
        <v>197.30694017893913</v>
      </c>
    </row>
    <row r="20" spans="1:8" x14ac:dyDescent="0.25">
      <c r="A20" s="278"/>
      <c r="B20" s="293" t="s">
        <v>308</v>
      </c>
      <c r="C20" s="294"/>
      <c r="D20" s="294"/>
      <c r="E20" s="294"/>
      <c r="F20" s="294"/>
      <c r="G20" s="295"/>
      <c r="H20" s="296">
        <f>SUM(H10:H19)</f>
        <v>4994.2188470125848</v>
      </c>
    </row>
    <row r="21" spans="1:8" ht="15.75" thickBot="1" x14ac:dyDescent="0.3">
      <c r="A21" s="297"/>
      <c r="B21" s="298" t="s">
        <v>309</v>
      </c>
      <c r="C21" s="299"/>
      <c r="D21" s="299"/>
      <c r="E21" s="299"/>
      <c r="F21" s="299"/>
      <c r="G21" s="300"/>
      <c r="H21" s="301">
        <f>H20*12</f>
        <v>59930.626164151021</v>
      </c>
    </row>
    <row r="22" spans="1:8" x14ac:dyDescent="0.25">
      <c r="A22" s="302" t="s">
        <v>310</v>
      </c>
      <c r="B22" s="303" t="s">
        <v>295</v>
      </c>
      <c r="C22" s="304" t="s">
        <v>296</v>
      </c>
      <c r="D22" s="305">
        <f>D10</f>
        <v>0.74561866628776374</v>
      </c>
      <c r="E22" s="306">
        <v>1200</v>
      </c>
      <c r="F22" s="307">
        <v>2039.8999999999999</v>
      </c>
      <c r="G22" s="307">
        <v>1804.4493644041254</v>
      </c>
      <c r="H22" s="391">
        <f>D22*G22</f>
        <v>1345.4311284708069</v>
      </c>
    </row>
    <row r="23" spans="1:8" x14ac:dyDescent="0.25">
      <c r="A23" s="278"/>
      <c r="B23" s="279"/>
      <c r="C23" s="285" t="s">
        <v>297</v>
      </c>
      <c r="D23" s="286">
        <f t="shared" ref="D23:D31" si="1">D11</f>
        <v>1.9883164434340366</v>
      </c>
      <c r="E23" s="287">
        <v>450</v>
      </c>
      <c r="F23" s="308">
        <v>721.15</v>
      </c>
      <c r="G23" s="308">
        <v>520.14345247635845</v>
      </c>
      <c r="H23" s="392">
        <f t="shared" ref="H23:H31" si="2">D23*G23</f>
        <v>1034.2097795032939</v>
      </c>
    </row>
    <row r="24" spans="1:8" x14ac:dyDescent="0.25">
      <c r="A24" s="278"/>
      <c r="B24" s="279"/>
      <c r="C24" s="285" t="s">
        <v>298</v>
      </c>
      <c r="D24" s="286">
        <f t="shared" si="1"/>
        <v>0.35789695981812658</v>
      </c>
      <c r="E24" s="287">
        <v>2500</v>
      </c>
      <c r="F24" s="308">
        <v>175.4</v>
      </c>
      <c r="G24" s="308">
        <v>148.54883559263115</v>
      </c>
      <c r="H24" s="392">
        <f t="shared" si="2"/>
        <v>53.165176643125399</v>
      </c>
    </row>
    <row r="25" spans="1:8" ht="25.5" x14ac:dyDescent="0.25">
      <c r="A25" s="278"/>
      <c r="B25" s="279"/>
      <c r="C25" s="285" t="s">
        <v>299</v>
      </c>
      <c r="D25" s="286">
        <f t="shared" si="1"/>
        <v>0.59649493303021095</v>
      </c>
      <c r="E25" s="287">
        <v>1500</v>
      </c>
      <c r="F25" s="308">
        <v>1094.9000000000001</v>
      </c>
      <c r="G25" s="308">
        <v>938.68936599868198</v>
      </c>
      <c r="H25" s="392">
        <f t="shared" si="2"/>
        <v>559.923450507555</v>
      </c>
    </row>
    <row r="26" spans="1:8" x14ac:dyDescent="0.25">
      <c r="A26" s="278"/>
      <c r="B26" s="290"/>
      <c r="C26" s="285" t="s">
        <v>300</v>
      </c>
      <c r="D26" s="286">
        <f t="shared" si="1"/>
        <v>2.982474665151055</v>
      </c>
      <c r="E26" s="287">
        <v>300</v>
      </c>
      <c r="F26" s="308">
        <v>170</v>
      </c>
      <c r="G26" s="308">
        <v>83.028083028083017</v>
      </c>
      <c r="H26" s="392">
        <f t="shared" si="2"/>
        <v>247.6291541273159</v>
      </c>
    </row>
    <row r="27" spans="1:8" ht="25.5" x14ac:dyDescent="0.25">
      <c r="A27" s="278"/>
      <c r="B27" s="291" t="s">
        <v>301</v>
      </c>
      <c r="C27" s="285" t="s">
        <v>302</v>
      </c>
      <c r="D27" s="286">
        <f t="shared" si="1"/>
        <v>9.9415822171701834E-2</v>
      </c>
      <c r="E27" s="287">
        <v>9000</v>
      </c>
      <c r="F27" s="308">
        <v>2146.25</v>
      </c>
      <c r="G27" s="308">
        <v>1623.2142857142858</v>
      </c>
      <c r="H27" s="392">
        <f t="shared" si="2"/>
        <v>161.37318277513745</v>
      </c>
    </row>
    <row r="28" spans="1:8" ht="38.25" x14ac:dyDescent="0.25">
      <c r="A28" s="278"/>
      <c r="B28" s="290"/>
      <c r="C28" s="285" t="s">
        <v>303</v>
      </c>
      <c r="D28" s="286">
        <f t="shared" si="1"/>
        <v>0.33138607390567271</v>
      </c>
      <c r="E28" s="287">
        <v>2700</v>
      </c>
      <c r="F28" s="308">
        <v>495.12</v>
      </c>
      <c r="G28" s="308">
        <v>445.608</v>
      </c>
      <c r="H28" s="392">
        <f t="shared" si="2"/>
        <v>147.66828562095901</v>
      </c>
    </row>
    <row r="29" spans="1:8" ht="25.5" x14ac:dyDescent="0.25">
      <c r="A29" s="278"/>
      <c r="B29" s="291" t="s">
        <v>304</v>
      </c>
      <c r="C29" s="285" t="s">
        <v>305</v>
      </c>
      <c r="D29" s="286">
        <f t="shared" si="1"/>
        <v>7.2701375042521152E-2</v>
      </c>
      <c r="E29" s="287">
        <f>160*15</f>
        <v>2400</v>
      </c>
      <c r="F29" s="308">
        <v>442.452</v>
      </c>
      <c r="G29" s="308">
        <v>347.6408571428571</v>
      </c>
      <c r="H29" s="392">
        <f t="shared" si="2"/>
        <v>25.273968335246373</v>
      </c>
    </row>
    <row r="30" spans="1:8" ht="25.5" x14ac:dyDescent="0.25">
      <c r="A30" s="278"/>
      <c r="B30" s="279"/>
      <c r="C30" s="285" t="s">
        <v>306</v>
      </c>
      <c r="D30" s="286">
        <f t="shared" si="1"/>
        <v>1.6241099867947074E-2</v>
      </c>
      <c r="E30" s="287">
        <f>380*15</f>
        <v>5700</v>
      </c>
      <c r="F30" s="308">
        <v>113.68</v>
      </c>
      <c r="G30" s="308">
        <v>212.13499999999999</v>
      </c>
      <c r="H30" s="392">
        <f t="shared" si="2"/>
        <v>3.4453057204869522</v>
      </c>
    </row>
    <row r="31" spans="1:8" x14ac:dyDescent="0.25">
      <c r="A31" s="278"/>
      <c r="B31" s="279"/>
      <c r="C31" s="309" t="s">
        <v>307</v>
      </c>
      <c r="D31" s="310">
        <f t="shared" si="1"/>
        <v>8.4224198393531985E-2</v>
      </c>
      <c r="E31" s="311">
        <f>380*15</f>
        <v>5700</v>
      </c>
      <c r="F31" s="312">
        <v>1019.8520000000001</v>
      </c>
      <c r="G31" s="312">
        <v>1903.1166785714288</v>
      </c>
      <c r="H31" s="392">
        <f t="shared" si="2"/>
        <v>160.28847670203967</v>
      </c>
    </row>
    <row r="32" spans="1:8" x14ac:dyDescent="0.25">
      <c r="A32" s="313"/>
      <c r="B32" s="314" t="s">
        <v>308</v>
      </c>
      <c r="C32" s="315"/>
      <c r="D32" s="315"/>
      <c r="E32" s="315"/>
      <c r="F32" s="315"/>
      <c r="G32" s="316"/>
      <c r="H32" s="317">
        <f>SUM(H22:H31)</f>
        <v>3738.4079084059667</v>
      </c>
    </row>
    <row r="33" spans="1:8" ht="15.75" thickBot="1" x14ac:dyDescent="0.3">
      <c r="A33" s="318"/>
      <c r="B33" s="319" t="s">
        <v>309</v>
      </c>
      <c r="C33" s="320"/>
      <c r="D33" s="320"/>
      <c r="E33" s="320"/>
      <c r="F33" s="320"/>
      <c r="G33" s="321"/>
      <c r="H33" s="322">
        <f>H32*12</f>
        <v>44860.894900871601</v>
      </c>
    </row>
    <row r="34" spans="1:8" ht="15.75" x14ac:dyDescent="0.25">
      <c r="A34" s="323" t="s">
        <v>311</v>
      </c>
      <c r="B34" s="324"/>
      <c r="C34" s="324"/>
      <c r="D34" s="324"/>
      <c r="E34" s="324"/>
      <c r="F34" s="324"/>
      <c r="G34" s="324"/>
      <c r="H34" s="325">
        <f>H32+H20</f>
        <v>8732.6267554185506</v>
      </c>
    </row>
    <row r="35" spans="1:8" ht="16.5" thickBot="1" x14ac:dyDescent="0.3">
      <c r="A35" s="326" t="s">
        <v>312</v>
      </c>
      <c r="B35" s="327"/>
      <c r="C35" s="327"/>
      <c r="D35" s="327"/>
      <c r="E35" s="327"/>
      <c r="F35" s="327"/>
      <c r="G35" s="327"/>
      <c r="H35" s="328">
        <f>H33+H21</f>
        <v>104791.52106502262</v>
      </c>
    </row>
  </sheetData>
  <mergeCells count="26">
    <mergeCell ref="A34:G34"/>
    <mergeCell ref="A35:G35"/>
    <mergeCell ref="A22:A33"/>
    <mergeCell ref="B22:B26"/>
    <mergeCell ref="B27:B28"/>
    <mergeCell ref="B29:B31"/>
    <mergeCell ref="B32:F32"/>
    <mergeCell ref="B33:F33"/>
    <mergeCell ref="G8:G9"/>
    <mergeCell ref="H8:H9"/>
    <mergeCell ref="A10:A21"/>
    <mergeCell ref="B10:B14"/>
    <mergeCell ref="B15:B16"/>
    <mergeCell ref="B17:B19"/>
    <mergeCell ref="B20:F20"/>
    <mergeCell ref="B21:F21"/>
    <mergeCell ref="A1:H1"/>
    <mergeCell ref="A2:H2"/>
    <mergeCell ref="A4:H4"/>
    <mergeCell ref="A5:H5"/>
    <mergeCell ref="A7:H7"/>
    <mergeCell ref="A8:A9"/>
    <mergeCell ref="B8:C9"/>
    <mergeCell ref="D8:D9"/>
    <mergeCell ref="E8:E9"/>
    <mergeCell ref="F8:F9"/>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CONSOLIDAÇÃO</vt:lpstr>
      <vt:lpstr>Custo por trabalhador</vt:lpstr>
      <vt:lpstr>Complemento</vt:lpstr>
      <vt:lpstr>PROPOSTA GERAL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Arcangela Silva Casagrande</dc:creator>
  <cp:lastModifiedBy>Santiago</cp:lastModifiedBy>
  <cp:lastPrinted>2021-06-29T20:09:51Z</cp:lastPrinted>
  <dcterms:created xsi:type="dcterms:W3CDTF">2018-01-23T19:35:16Z</dcterms:created>
  <dcterms:modified xsi:type="dcterms:W3CDTF">2021-06-29T21:42:45Z</dcterms:modified>
</cp:coreProperties>
</file>