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Termos de Referência DLMA\TR Apoio Técnico\"/>
    </mc:Choice>
  </mc:AlternateContent>
  <xr:revisionPtr revIDLastSave="0" documentId="13_ncr:1_{DFA59393-1A60-448C-B245-23678B0D654E}" xr6:coauthVersionLast="43" xr6:coauthVersionMax="43" xr10:uidLastSave="{00000000-0000-0000-0000-000000000000}"/>
  <bookViews>
    <workbookView xWindow="-108" yWindow="-108" windowWidth="23256" windowHeight="12576" firstSheet="15" activeTab="19" xr2:uid="{00000000-000D-0000-FFFF-FFFF00000000}"/>
  </bookViews>
  <sheets>
    <sheet name="Auxiliar de Almoxarifado" sheetId="10" r:id="rId1"/>
    <sheet name="Almoxarife" sheetId="11" r:id="rId2"/>
    <sheet name="Artífice" sheetId="12" r:id="rId3"/>
    <sheet name="Materiais Artifice" sheetId="7" r:id="rId4"/>
    <sheet name="Condutor B" sheetId="13" r:id="rId5"/>
    <sheet name="Condutor D" sheetId="14" r:id="rId6"/>
    <sheet name="Ag. Portaria 44horas" sheetId="15" r:id="rId7"/>
    <sheet name="Ag Portaria 12x36 diu seg a sex" sheetId="17" r:id="rId8"/>
    <sheet name="Ag Portaria 12x36 diu seg a dom" sheetId="16" r:id="rId9"/>
    <sheet name="Materiais Ag de Portaria" sheetId="23" r:id="rId10"/>
    <sheet name="Copeira" sheetId="18" r:id="rId11"/>
    <sheet name="Operador de Som" sheetId="19" r:id="rId12"/>
    <sheet name="Lavador de Veículos" sheetId="20" r:id="rId13"/>
    <sheet name="Carregador_Ajudante" sheetId="21" r:id="rId14"/>
    <sheet name="Materiais Carregador" sheetId="25" r:id="rId15"/>
    <sheet name="Jardineiro Roçador" sheetId="22" r:id="rId16"/>
    <sheet name="Materiais Roçador" sheetId="24" r:id="rId17"/>
    <sheet name="Encarregado" sheetId="3" r:id="rId18"/>
    <sheet name="Materiais Uso Coletivo" sheetId="26" r:id="rId19"/>
    <sheet name="Resumo" sheetId="9" r:id="rId20"/>
  </sheets>
  <definedNames>
    <definedName name="_xlnm.Print_Area" localSheetId="8">'Ag Portaria 12x36 diu seg a dom'!$A$1:$E$184</definedName>
    <definedName name="_xlnm.Print_Area" localSheetId="7">'Ag Portaria 12x36 diu seg a sex'!$A$1:$E$183</definedName>
    <definedName name="_xlnm.Print_Area" localSheetId="6">'Ag. Portaria 44horas'!$A$1:$E$183</definedName>
    <definedName name="_xlnm.Print_Area" localSheetId="1">Almoxarife!$A$1:$E$181</definedName>
    <definedName name="_xlnm.Print_Area" localSheetId="2">Artífice!$A$1:$E$184</definedName>
    <definedName name="_xlnm.Print_Area" localSheetId="0">'Auxiliar de Almoxarifado'!$A$1:$E$181</definedName>
    <definedName name="_xlnm.Print_Area" localSheetId="13">Carregador_Ajudante!$A$1:$E$185</definedName>
    <definedName name="_xlnm.Print_Area" localSheetId="4">'Condutor B'!$A$1:$E$182</definedName>
    <definedName name="_xlnm.Print_Area" localSheetId="5">'Condutor D'!$A$1:$E$182</definedName>
    <definedName name="_xlnm.Print_Area" localSheetId="10">Copeira!$A$1:$E$182</definedName>
    <definedName name="_xlnm.Print_Area" localSheetId="17">Encarregado!$A$1:$E$181</definedName>
    <definedName name="_xlnm.Print_Area" localSheetId="15">'Jardineiro Roçador'!$A$1:$E$183</definedName>
    <definedName name="_xlnm.Print_Area" localSheetId="12">'Lavador de Veículos'!$A$1:$E$182</definedName>
    <definedName name="_xlnm.Print_Area" localSheetId="9">'Materiais Ag de Portaria'!$A$1:$H$22</definedName>
    <definedName name="_xlnm.Print_Area" localSheetId="3">'Materiais Artifice'!$A$1:$H$69</definedName>
    <definedName name="_xlnm.Print_Area" localSheetId="14">'Materiais Carregador'!$A$1:$H$22</definedName>
    <definedName name="_xlnm.Print_Area" localSheetId="16">'Materiais Roçador'!$A$1:$H$39</definedName>
    <definedName name="_xlnm.Print_Area" localSheetId="11">'Operador de Som'!$A$1:$E$181</definedName>
    <definedName name="_xlnm.Print_Area" localSheetId="19">Resumo!$A$1:$I$35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9" l="1"/>
  <c r="H9" i="9" l="1"/>
  <c r="C66" i="17" l="1"/>
  <c r="C67" i="17"/>
  <c r="G7" i="26" l="1"/>
  <c r="H13" i="9" l="1"/>
  <c r="H19" i="9"/>
  <c r="I19" i="9" s="1"/>
  <c r="H18" i="9"/>
  <c r="I18" i="9" s="1"/>
  <c r="H17" i="9"/>
  <c r="I17" i="9" s="1"/>
  <c r="H16" i="9"/>
  <c r="I16" i="9" s="1"/>
  <c r="H15" i="9"/>
  <c r="I15" i="9" s="1"/>
  <c r="H14" i="9"/>
  <c r="I14" i="9" s="1"/>
  <c r="I13" i="9"/>
  <c r="H8" i="9"/>
  <c r="I8" i="9" s="1"/>
  <c r="I7" i="9"/>
  <c r="H7" i="9"/>
  <c r="H11" i="9"/>
  <c r="I11" i="9" s="1"/>
  <c r="C138" i="10"/>
  <c r="C138" i="11"/>
  <c r="C141" i="12"/>
  <c r="C139" i="13"/>
  <c r="C139" i="14"/>
  <c r="C140" i="15"/>
  <c r="C140" i="17"/>
  <c r="C140" i="16"/>
  <c r="C139" i="18"/>
  <c r="C138" i="19"/>
  <c r="C139" i="20"/>
  <c r="C142" i="21"/>
  <c r="C146" i="22"/>
  <c r="G5" i="26"/>
  <c r="G5" i="23"/>
  <c r="F21" i="24" l="1"/>
  <c r="F20" i="24"/>
  <c r="G10" i="24"/>
  <c r="F7" i="24"/>
  <c r="G7" i="24" s="1"/>
  <c r="G5" i="24"/>
  <c r="G6" i="24"/>
  <c r="G8" i="24"/>
  <c r="G9" i="24"/>
  <c r="G11" i="24"/>
  <c r="G12" i="24"/>
  <c r="G13" i="24"/>
  <c r="G14" i="24"/>
  <c r="G15" i="24"/>
  <c r="G16" i="24"/>
  <c r="G17" i="24"/>
  <c r="G18" i="24"/>
  <c r="G19" i="24"/>
  <c r="G20" i="24"/>
  <c r="G21" i="24"/>
  <c r="G22" i="24"/>
  <c r="G54" i="7"/>
  <c r="G23" i="24" l="1"/>
  <c r="G24" i="24" s="1"/>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6" i="23"/>
  <c r="G7" i="23" s="1"/>
  <c r="G6" i="26"/>
  <c r="C138" i="3" s="1"/>
  <c r="G5" i="25"/>
  <c r="G6" i="25" s="1"/>
  <c r="G7" i="25" s="1"/>
  <c r="G53" i="7" l="1"/>
  <c r="E129" i="3"/>
  <c r="E130" i="3"/>
  <c r="E131" i="3"/>
  <c r="E132" i="3"/>
  <c r="E128" i="3"/>
  <c r="E129" i="21"/>
  <c r="E137" i="21" s="1"/>
  <c r="E138" i="21" s="1"/>
  <c r="C141" i="21" s="1"/>
  <c r="C145" i="21" s="1"/>
  <c r="C167" i="21" s="1"/>
  <c r="E130" i="21"/>
  <c r="E131" i="21"/>
  <c r="E132" i="21"/>
  <c r="E133" i="21"/>
  <c r="E134" i="21"/>
  <c r="E135" i="21"/>
  <c r="E136" i="21"/>
  <c r="E128" i="21"/>
  <c r="E129" i="20"/>
  <c r="E130" i="20"/>
  <c r="E131" i="20"/>
  <c r="E132" i="20"/>
  <c r="E133" i="20"/>
  <c r="E128" i="20"/>
  <c r="E129" i="19"/>
  <c r="E130" i="19"/>
  <c r="E131" i="19"/>
  <c r="E132" i="19"/>
  <c r="E128" i="19"/>
  <c r="E129" i="18"/>
  <c r="E130" i="18"/>
  <c r="E131" i="18"/>
  <c r="E132" i="18"/>
  <c r="E133" i="18"/>
  <c r="E128" i="18"/>
  <c r="E133" i="14"/>
  <c r="E132" i="14"/>
  <c r="E131" i="14"/>
  <c r="E130" i="14"/>
  <c r="E129" i="14"/>
  <c r="E130" i="13"/>
  <c r="E131" i="13"/>
  <c r="E132" i="13"/>
  <c r="E133" i="13"/>
  <c r="E129" i="13"/>
  <c r="E129" i="22"/>
  <c r="E130" i="22"/>
  <c r="E131" i="22"/>
  <c r="E132" i="22"/>
  <c r="E133" i="22"/>
  <c r="E134" i="22"/>
  <c r="E135" i="22"/>
  <c r="E136" i="22"/>
  <c r="E137" i="22"/>
  <c r="E138" i="22"/>
  <c r="E139" i="22"/>
  <c r="E140" i="22"/>
  <c r="E128" i="22"/>
  <c r="E129" i="17"/>
  <c r="E130" i="17"/>
  <c r="E131" i="17"/>
  <c r="E132" i="17"/>
  <c r="E133" i="17"/>
  <c r="E134" i="17"/>
  <c r="E128" i="17"/>
  <c r="E129" i="16"/>
  <c r="E130" i="16"/>
  <c r="E131" i="16"/>
  <c r="E132" i="16"/>
  <c r="E133" i="16"/>
  <c r="E134" i="16"/>
  <c r="E128" i="16"/>
  <c r="E129" i="15"/>
  <c r="E130" i="15"/>
  <c r="E131" i="15"/>
  <c r="E132" i="15"/>
  <c r="E133" i="15"/>
  <c r="E134" i="15"/>
  <c r="E128" i="15"/>
  <c r="E129" i="12"/>
  <c r="E130" i="12"/>
  <c r="E131" i="12"/>
  <c r="E132" i="12"/>
  <c r="E133" i="12"/>
  <c r="E134" i="12"/>
  <c r="E135" i="12"/>
  <c r="E128" i="12"/>
  <c r="E132" i="11"/>
  <c r="E131" i="11"/>
  <c r="E130" i="11"/>
  <c r="E129" i="11"/>
  <c r="E128" i="11"/>
  <c r="E129" i="10"/>
  <c r="E130" i="10"/>
  <c r="E131" i="10"/>
  <c r="E132" i="10"/>
  <c r="E128" i="10"/>
  <c r="C120" i="22"/>
  <c r="C67" i="22"/>
  <c r="C66" i="22"/>
  <c r="C70" i="22" s="1"/>
  <c r="C78" i="22" s="1"/>
  <c r="C60" i="22"/>
  <c r="C45" i="22"/>
  <c r="C36" i="22"/>
  <c r="C120" i="21"/>
  <c r="C67" i="21"/>
  <c r="C60" i="21"/>
  <c r="C36" i="21"/>
  <c r="C120" i="20"/>
  <c r="C67" i="20"/>
  <c r="C60" i="20"/>
  <c r="C45" i="20"/>
  <c r="C44" i="20"/>
  <c r="C46" i="20" s="1"/>
  <c r="C36" i="20"/>
  <c r="C160" i="20" s="1"/>
  <c r="E134" i="20" l="1"/>
  <c r="E135" i="20" s="1"/>
  <c r="C138" i="20" s="1"/>
  <c r="C142" i="20" s="1"/>
  <c r="C164" i="20" s="1"/>
  <c r="E141" i="22"/>
  <c r="E142" i="22" s="1"/>
  <c r="C145" i="22" s="1"/>
  <c r="C149" i="22" s="1"/>
  <c r="C171" i="22" s="1"/>
  <c r="E133" i="10"/>
  <c r="E134" i="10" s="1"/>
  <c r="C167" i="22"/>
  <c r="C44" i="22"/>
  <c r="C46" i="22" s="1"/>
  <c r="D53" i="22"/>
  <c r="C44" i="21"/>
  <c r="C163" i="21"/>
  <c r="C45" i="21"/>
  <c r="C66" i="21"/>
  <c r="C70" i="21" s="1"/>
  <c r="C78" i="21" s="1"/>
  <c r="C66" i="20"/>
  <c r="C70" i="20" s="1"/>
  <c r="C78" i="20" s="1"/>
  <c r="D59" i="20"/>
  <c r="C87" i="20" s="1"/>
  <c r="D55" i="20"/>
  <c r="D58" i="20"/>
  <c r="D54" i="20"/>
  <c r="C85" i="20"/>
  <c r="C76" i="20"/>
  <c r="C79" i="20" s="1"/>
  <c r="D60" i="20"/>
  <c r="C77" i="20" s="1"/>
  <c r="D57" i="20"/>
  <c r="D53" i="20"/>
  <c r="D52" i="20"/>
  <c r="D56" i="20"/>
  <c r="E133" i="19"/>
  <c r="E134" i="19" s="1"/>
  <c r="C137" i="19" s="1"/>
  <c r="C141" i="19" s="1"/>
  <c r="C163" i="19" s="1"/>
  <c r="C120" i="19"/>
  <c r="C67" i="19"/>
  <c r="C60" i="19"/>
  <c r="C45" i="19"/>
  <c r="C44" i="19"/>
  <c r="C36" i="19"/>
  <c r="C66" i="19" s="1"/>
  <c r="C70" i="19" s="1"/>
  <c r="C78" i="19" s="1"/>
  <c r="E134" i="18"/>
  <c r="E135" i="18" s="1"/>
  <c r="C138" i="18" s="1"/>
  <c r="C142" i="18" s="1"/>
  <c r="C164" i="18" s="1"/>
  <c r="C120" i="18"/>
  <c r="C67" i="18"/>
  <c r="C60" i="18"/>
  <c r="C36" i="18"/>
  <c r="C76" i="22" l="1"/>
  <c r="D59" i="22"/>
  <c r="C85" i="22" s="1"/>
  <c r="D55" i="22"/>
  <c r="D58" i="22"/>
  <c r="D54" i="22"/>
  <c r="D60" i="22"/>
  <c r="C77" i="22" s="1"/>
  <c r="D56" i="22"/>
  <c r="D57" i="22"/>
  <c r="D52" i="22"/>
  <c r="C46" i="21"/>
  <c r="C90" i="20"/>
  <c r="C161" i="20"/>
  <c r="C86" i="20"/>
  <c r="C91" i="20" s="1"/>
  <c r="C88" i="20"/>
  <c r="C89" i="20" s="1"/>
  <c r="C46" i="19"/>
  <c r="C76" i="19" s="1"/>
  <c r="D60" i="19"/>
  <c r="C77" i="19" s="1"/>
  <c r="C159" i="19"/>
  <c r="C160" i="18"/>
  <c r="C44" i="18"/>
  <c r="C45" i="18"/>
  <c r="C66" i="18"/>
  <c r="C70" i="18" s="1"/>
  <c r="C78" i="18" s="1"/>
  <c r="E135" i="17"/>
  <c r="E136" i="17" s="1"/>
  <c r="C139" i="17" s="1"/>
  <c r="C143" i="17" s="1"/>
  <c r="C165" i="17" s="1"/>
  <c r="C120" i="17"/>
  <c r="C70" i="17"/>
  <c r="C78" i="17" s="1"/>
  <c r="C60" i="17"/>
  <c r="C45" i="17"/>
  <c r="C36" i="17"/>
  <c r="C161" i="17" s="1"/>
  <c r="C87" i="22" l="1"/>
  <c r="C79" i="22"/>
  <c r="C90" i="22" s="1"/>
  <c r="C168" i="22"/>
  <c r="C86" i="22"/>
  <c r="C76" i="21"/>
  <c r="D60" i="21"/>
  <c r="C77" i="21" s="1"/>
  <c r="D55" i="21"/>
  <c r="D53" i="21"/>
  <c r="D52" i="21"/>
  <c r="D54" i="21"/>
  <c r="D59" i="21"/>
  <c r="C85" i="21" s="1"/>
  <c r="D58" i="21"/>
  <c r="D57" i="21"/>
  <c r="D56" i="21"/>
  <c r="C162" i="20"/>
  <c r="C104" i="20"/>
  <c r="C103" i="20"/>
  <c r="C101" i="20"/>
  <c r="C102" i="20"/>
  <c r="C100" i="20"/>
  <c r="D55" i="19"/>
  <c r="D59" i="19"/>
  <c r="C85" i="19" s="1"/>
  <c r="C86" i="19" s="1"/>
  <c r="D56" i="19"/>
  <c r="D52" i="19"/>
  <c r="D54" i="19"/>
  <c r="D57" i="19"/>
  <c r="C87" i="19"/>
  <c r="D53" i="19"/>
  <c r="D58" i="19"/>
  <c r="C79" i="19"/>
  <c r="C46" i="18"/>
  <c r="C44" i="17"/>
  <c r="C46" i="17" s="1"/>
  <c r="D53" i="17" s="1"/>
  <c r="C88" i="22" l="1"/>
  <c r="C89" i="22" s="1"/>
  <c r="C86" i="21"/>
  <c r="C87" i="21"/>
  <c r="C79" i="21"/>
  <c r="C106" i="20"/>
  <c r="C119" i="20" s="1"/>
  <c r="C121" i="20" s="1"/>
  <c r="C163" i="20" s="1"/>
  <c r="C165" i="20" s="1"/>
  <c r="C90" i="19"/>
  <c r="C91" i="19" s="1"/>
  <c r="C161" i="19" s="1"/>
  <c r="C160" i="19"/>
  <c r="C88" i="19"/>
  <c r="C89" i="19" s="1"/>
  <c r="C76" i="18"/>
  <c r="C87" i="18"/>
  <c r="D55" i="18"/>
  <c r="D59" i="18"/>
  <c r="D56" i="18"/>
  <c r="D60" i="18"/>
  <c r="C77" i="18" s="1"/>
  <c r="D54" i="18"/>
  <c r="C85" i="18"/>
  <c r="D58" i="18"/>
  <c r="D53" i="18"/>
  <c r="D52" i="18"/>
  <c r="D57" i="18"/>
  <c r="D56" i="17"/>
  <c r="C76" i="17"/>
  <c r="C79" i="17" s="1"/>
  <c r="C87" i="17"/>
  <c r="D59" i="17"/>
  <c r="C85" i="17" s="1"/>
  <c r="D55" i="17"/>
  <c r="D58" i="17"/>
  <c r="D54" i="17"/>
  <c r="D60" i="17"/>
  <c r="C77" i="17" s="1"/>
  <c r="D52" i="17"/>
  <c r="D57" i="17"/>
  <c r="C91" i="22" l="1"/>
  <c r="C164" i="21"/>
  <c r="C90" i="21"/>
  <c r="C88" i="21"/>
  <c r="C89" i="21" s="1"/>
  <c r="D148" i="20"/>
  <c r="C104" i="19"/>
  <c r="C101" i="19"/>
  <c r="C103" i="19"/>
  <c r="C100" i="19"/>
  <c r="C102" i="19"/>
  <c r="C79" i="18"/>
  <c r="C86" i="18"/>
  <c r="C86" i="17"/>
  <c r="C90" i="17"/>
  <c r="C162" i="17"/>
  <c r="C88" i="17"/>
  <c r="C89" i="17" s="1"/>
  <c r="C91" i="17" l="1"/>
  <c r="C102" i="17" s="1"/>
  <c r="C102" i="22"/>
  <c r="C103" i="22"/>
  <c r="C101" i="22"/>
  <c r="C100" i="22"/>
  <c r="C169" i="22"/>
  <c r="C104" i="22"/>
  <c r="C91" i="21"/>
  <c r="D149" i="20"/>
  <c r="E150" i="20" s="1"/>
  <c r="C106" i="19"/>
  <c r="C119" i="19" s="1"/>
  <c r="C121" i="19" s="1"/>
  <c r="C162" i="19" s="1"/>
  <c r="C164" i="19" s="1"/>
  <c r="C161" i="18"/>
  <c r="C88" i="18"/>
  <c r="C90" i="18"/>
  <c r="C163" i="17"/>
  <c r="C104" i="17"/>
  <c r="C100" i="17"/>
  <c r="C103" i="17"/>
  <c r="C101" i="17"/>
  <c r="C106" i="22" l="1"/>
  <c r="C119" i="22" s="1"/>
  <c r="C121" i="22" s="1"/>
  <c r="C170" i="22" s="1"/>
  <c r="C172" i="22" s="1"/>
  <c r="D155" i="22" s="1"/>
  <c r="C165" i="21"/>
  <c r="C101" i="21"/>
  <c r="C100" i="21"/>
  <c r="C103" i="21"/>
  <c r="C104" i="21"/>
  <c r="C102" i="21"/>
  <c r="D151" i="20"/>
  <c r="D153" i="20"/>
  <c r="D152" i="20"/>
  <c r="D147" i="19"/>
  <c r="D148" i="19" s="1"/>
  <c r="C89" i="18"/>
  <c r="C91" i="18"/>
  <c r="C106" i="17"/>
  <c r="C119" i="17" s="1"/>
  <c r="C121" i="17" s="1"/>
  <c r="C164" i="17" s="1"/>
  <c r="C166" i="17" s="1"/>
  <c r="D156" i="22" l="1"/>
  <c r="E157" i="22" s="1"/>
  <c r="D159" i="22" s="1"/>
  <c r="C106" i="21"/>
  <c r="C119" i="21" s="1"/>
  <c r="C121" i="21" s="1"/>
  <c r="C166" i="21" s="1"/>
  <c r="C168" i="21" s="1"/>
  <c r="D154" i="20"/>
  <c r="C166" i="20" s="1"/>
  <c r="C167" i="20" s="1"/>
  <c r="E149" i="19"/>
  <c r="C162" i="18"/>
  <c r="C100" i="18"/>
  <c r="C103" i="18"/>
  <c r="C101" i="18"/>
  <c r="C102" i="18"/>
  <c r="C104" i="18"/>
  <c r="D149" i="17"/>
  <c r="D150" i="17" s="1"/>
  <c r="E151" i="17" s="1"/>
  <c r="D158" i="22" l="1"/>
  <c r="D160" i="22"/>
  <c r="D151" i="21"/>
  <c r="D152" i="19"/>
  <c r="D151" i="19"/>
  <c r="D150" i="19"/>
  <c r="C106" i="18"/>
  <c r="C119" i="18" s="1"/>
  <c r="C121" i="18" s="1"/>
  <c r="C163" i="18" s="1"/>
  <c r="C165" i="18"/>
  <c r="D152" i="17"/>
  <c r="D153" i="17"/>
  <c r="D154" i="17"/>
  <c r="D161" i="22" l="1"/>
  <c r="C173" i="22" s="1"/>
  <c r="C174" i="22" s="1"/>
  <c r="D155" i="17"/>
  <c r="C167" i="17" s="1"/>
  <c r="C168" i="17" s="1"/>
  <c r="C169" i="17" s="1"/>
  <c r="H12" i="9" s="1"/>
  <c r="I12" i="9" s="1"/>
  <c r="D152" i="21"/>
  <c r="E153" i="21" s="1"/>
  <c r="D153" i="19"/>
  <c r="C165" i="19" s="1"/>
  <c r="C166" i="19" s="1"/>
  <c r="D148" i="18"/>
  <c r="D149" i="18" s="1"/>
  <c r="E150" i="18" s="1"/>
  <c r="C67" i="16"/>
  <c r="C66" i="16"/>
  <c r="E135" i="16"/>
  <c r="E136" i="16" s="1"/>
  <c r="C139" i="16" s="1"/>
  <c r="C143" i="16" s="1"/>
  <c r="C165" i="16" s="1"/>
  <c r="C120" i="16"/>
  <c r="C60" i="16"/>
  <c r="C36" i="16"/>
  <c r="D156" i="21" l="1"/>
  <c r="D155" i="21"/>
  <c r="D154" i="21"/>
  <c r="D153" i="18"/>
  <c r="D152" i="18"/>
  <c r="D151" i="18"/>
  <c r="C161" i="16"/>
  <c r="C44" i="16"/>
  <c r="C45" i="16"/>
  <c r="C70" i="16"/>
  <c r="C78" i="16" s="1"/>
  <c r="C66" i="15"/>
  <c r="C67" i="15"/>
  <c r="D154" i="18" l="1"/>
  <c r="C166" i="18" s="1"/>
  <c r="C167" i="18" s="1"/>
  <c r="D157" i="21"/>
  <c r="C169" i="21" s="1"/>
  <c r="C170" i="21" s="1"/>
  <c r="C46" i="16"/>
  <c r="E135" i="15"/>
  <c r="E136" i="15" s="1"/>
  <c r="C139" i="15" s="1"/>
  <c r="C143" i="15" s="1"/>
  <c r="C165" i="15" s="1"/>
  <c r="C120" i="15"/>
  <c r="C70" i="15"/>
  <c r="C78" i="15" s="1"/>
  <c r="C60" i="15"/>
  <c r="C45" i="15"/>
  <c r="C36" i="15"/>
  <c r="C76" i="16" l="1"/>
  <c r="C79" i="16" s="1"/>
  <c r="C87" i="16"/>
  <c r="D59" i="16"/>
  <c r="D55" i="16"/>
  <c r="C85" i="16"/>
  <c r="D58" i="16"/>
  <c r="D53" i="16"/>
  <c r="D52" i="16"/>
  <c r="D57" i="16"/>
  <c r="D56" i="16"/>
  <c r="D60" i="16"/>
  <c r="C77" i="16" s="1"/>
  <c r="D54" i="16"/>
  <c r="D52" i="15"/>
  <c r="C161" i="15"/>
  <c r="C44" i="15"/>
  <c r="C46" i="15" s="1"/>
  <c r="D53" i="15"/>
  <c r="D57" i="15"/>
  <c r="E134" i="14"/>
  <c r="E135" i="14" s="1"/>
  <c r="C138" i="14" s="1"/>
  <c r="C142" i="14" s="1"/>
  <c r="C164" i="14" s="1"/>
  <c r="C121" i="14"/>
  <c r="C67" i="14"/>
  <c r="C66" i="14"/>
  <c r="C60" i="14"/>
  <c r="C36" i="14"/>
  <c r="C45" i="14" s="1"/>
  <c r="C86" i="16" l="1"/>
  <c r="C162" i="16"/>
  <c r="C88" i="16"/>
  <c r="C89" i="16" s="1"/>
  <c r="C90" i="16"/>
  <c r="D55" i="15"/>
  <c r="D58" i="15"/>
  <c r="D54" i="15"/>
  <c r="C76" i="15"/>
  <c r="D59" i="15"/>
  <c r="C85" i="15" s="1"/>
  <c r="D60" i="15"/>
  <c r="C77" i="15" s="1"/>
  <c r="D56" i="15"/>
  <c r="C71" i="14"/>
  <c r="C44" i="14"/>
  <c r="C46" i="14" s="1"/>
  <c r="D52" i="14" s="1"/>
  <c r="C160" i="14"/>
  <c r="D55" i="14"/>
  <c r="C67" i="13"/>
  <c r="C91" i="16" l="1"/>
  <c r="C103" i="16" s="1"/>
  <c r="C86" i="15"/>
  <c r="C87" i="15"/>
  <c r="C79" i="15"/>
  <c r="D60" i="14"/>
  <c r="C78" i="14" s="1"/>
  <c r="D56" i="14"/>
  <c r="D59" i="14"/>
  <c r="C88" i="14" s="1"/>
  <c r="D57" i="14"/>
  <c r="C79" i="14"/>
  <c r="D53" i="14"/>
  <c r="C77" i="14"/>
  <c r="D58" i="14"/>
  <c r="D54" i="14"/>
  <c r="E134" i="13"/>
  <c r="E135" i="13" s="1"/>
  <c r="C138" i="13" s="1"/>
  <c r="C142" i="13" s="1"/>
  <c r="C164" i="13" s="1"/>
  <c r="C121" i="13"/>
  <c r="C60" i="13"/>
  <c r="C36" i="13"/>
  <c r="C104" i="16" l="1"/>
  <c r="C101" i="16"/>
  <c r="C100" i="16"/>
  <c r="C102" i="16"/>
  <c r="C163" i="16"/>
  <c r="C106" i="16"/>
  <c r="C119" i="16" s="1"/>
  <c r="C121" i="16" s="1"/>
  <c r="C164" i="16" s="1"/>
  <c r="C166" i="16" s="1"/>
  <c r="C90" i="15"/>
  <c r="C162" i="15"/>
  <c r="C88" i="15"/>
  <c r="C89" i="15" s="1"/>
  <c r="C86" i="14"/>
  <c r="C80" i="14"/>
  <c r="C161" i="14" s="1"/>
  <c r="C87" i="14"/>
  <c r="C71" i="13"/>
  <c r="C79" i="13" s="1"/>
  <c r="C66" i="13"/>
  <c r="C45" i="13"/>
  <c r="D52" i="13"/>
  <c r="D56" i="13"/>
  <c r="C160" i="13"/>
  <c r="C44" i="13"/>
  <c r="C46" i="13" s="1"/>
  <c r="D53" i="13" s="1"/>
  <c r="D60" i="13"/>
  <c r="C78" i="13" s="1"/>
  <c r="E136" i="12"/>
  <c r="E137" i="12" s="1"/>
  <c r="C140" i="12" s="1"/>
  <c r="C144" i="12" s="1"/>
  <c r="C166" i="12" s="1"/>
  <c r="C120" i="12"/>
  <c r="C67" i="12"/>
  <c r="C60" i="12"/>
  <c r="C36" i="12"/>
  <c r="C91" i="14" l="1"/>
  <c r="D149" i="16"/>
  <c r="D150" i="16" s="1"/>
  <c r="E151" i="16" s="1"/>
  <c r="C91" i="15"/>
  <c r="C89" i="14"/>
  <c r="C90" i="14" s="1"/>
  <c r="D57" i="13"/>
  <c r="C77" i="13"/>
  <c r="C80" i="13" s="1"/>
  <c r="C88" i="13"/>
  <c r="D59" i="13"/>
  <c r="C86" i="13" s="1"/>
  <c r="C87" i="13" s="1"/>
  <c r="D55" i="13"/>
  <c r="D58" i="13"/>
  <c r="D54" i="13"/>
  <c r="C162" i="12"/>
  <c r="C44" i="12"/>
  <c r="C45" i="12"/>
  <c r="C66" i="12"/>
  <c r="C70" i="12" s="1"/>
  <c r="C78" i="12" s="1"/>
  <c r="E133" i="11"/>
  <c r="E134" i="11" s="1"/>
  <c r="C137" i="11" s="1"/>
  <c r="C141" i="11" s="1"/>
  <c r="C163" i="11" s="1"/>
  <c r="C120" i="11"/>
  <c r="C67" i="11"/>
  <c r="C60" i="11"/>
  <c r="C36" i="11"/>
  <c r="C44" i="11" s="1"/>
  <c r="C87" i="3"/>
  <c r="C86" i="3"/>
  <c r="C137" i="10"/>
  <c r="C120" i="10"/>
  <c r="C67" i="10"/>
  <c r="C60" i="10"/>
  <c r="C36" i="10"/>
  <c r="E133" i="3"/>
  <c r="E134" i="3" s="1"/>
  <c r="C137" i="3" s="1"/>
  <c r="D154" i="16" l="1"/>
  <c r="D153" i="16"/>
  <c r="D152" i="16"/>
  <c r="C163" i="15"/>
  <c r="C103" i="15"/>
  <c r="C104" i="15"/>
  <c r="C102" i="15"/>
  <c r="C101" i="15"/>
  <c r="C100" i="15"/>
  <c r="C92" i="14"/>
  <c r="C91" i="13"/>
  <c r="C161" i="13"/>
  <c r="C89" i="13"/>
  <c r="C90" i="13" s="1"/>
  <c r="C46" i="12"/>
  <c r="C46" i="11"/>
  <c r="D56" i="11" s="1"/>
  <c r="D52" i="11"/>
  <c r="C159" i="11"/>
  <c r="C45" i="11"/>
  <c r="D54" i="11"/>
  <c r="D58" i="11"/>
  <c r="C66" i="11"/>
  <c r="C70" i="11" s="1"/>
  <c r="C78" i="11" s="1"/>
  <c r="C141" i="10"/>
  <c r="C163" i="10" s="1"/>
  <c r="C159" i="10"/>
  <c r="C44" i="10"/>
  <c r="C45" i="10"/>
  <c r="C66" i="10"/>
  <c r="C70" i="10" s="1"/>
  <c r="C78" i="10" s="1"/>
  <c r="C67" i="3"/>
  <c r="D155" i="16" l="1"/>
  <c r="C167" i="16" s="1"/>
  <c r="C168" i="16" s="1"/>
  <c r="C169" i="16" s="1"/>
  <c r="C106" i="15"/>
  <c r="C119" i="15" s="1"/>
  <c r="C121" i="15" s="1"/>
  <c r="C164" i="15" s="1"/>
  <c r="C166" i="15" s="1"/>
  <c r="C104" i="14"/>
  <c r="C105" i="14"/>
  <c r="C103" i="14"/>
  <c r="C102" i="14"/>
  <c r="C162" i="14"/>
  <c r="C101" i="14"/>
  <c r="C92" i="13"/>
  <c r="C102" i="13" s="1"/>
  <c r="C76" i="12"/>
  <c r="C87" i="12"/>
  <c r="D55" i="12"/>
  <c r="D59" i="12"/>
  <c r="D56" i="12"/>
  <c r="D60" i="12"/>
  <c r="C77" i="12" s="1"/>
  <c r="D54" i="12"/>
  <c r="C85" i="12"/>
  <c r="D58" i="12"/>
  <c r="D53" i="12"/>
  <c r="D52" i="12"/>
  <c r="D57" i="12"/>
  <c r="D57" i="11"/>
  <c r="C76" i="11"/>
  <c r="D53" i="11"/>
  <c r="D59" i="11"/>
  <c r="C87" i="11" s="1"/>
  <c r="D55" i="11"/>
  <c r="D60" i="11"/>
  <c r="C77" i="11" s="1"/>
  <c r="C46" i="10"/>
  <c r="D149" i="15" l="1"/>
  <c r="C107" i="14"/>
  <c r="C120" i="14" s="1"/>
  <c r="C122" i="14" s="1"/>
  <c r="C163" i="14" s="1"/>
  <c r="C165" i="14" s="1"/>
  <c r="C103" i="13"/>
  <c r="C162" i="13"/>
  <c r="C105" i="13"/>
  <c r="C104" i="13"/>
  <c r="C101" i="13"/>
  <c r="C86" i="12"/>
  <c r="C79" i="12"/>
  <c r="C79" i="11"/>
  <c r="C85" i="11"/>
  <c r="D59" i="10"/>
  <c r="C87" i="10" s="1"/>
  <c r="D55" i="10"/>
  <c r="C76" i="10"/>
  <c r="D52" i="10"/>
  <c r="D57" i="10"/>
  <c r="D56" i="10"/>
  <c r="D60" i="10"/>
  <c r="C77" i="10" s="1"/>
  <c r="D54" i="10"/>
  <c r="D58" i="10"/>
  <c r="D53" i="10"/>
  <c r="D150" i="15" l="1"/>
  <c r="E151" i="15" s="1"/>
  <c r="D148" i="14"/>
  <c r="D149" i="14" s="1"/>
  <c r="C107" i="13"/>
  <c r="C120" i="13" s="1"/>
  <c r="C122" i="13" s="1"/>
  <c r="C163" i="13" s="1"/>
  <c r="C165" i="13" s="1"/>
  <c r="D148" i="13" s="1"/>
  <c r="C163" i="12"/>
  <c r="C88" i="12"/>
  <c r="C90" i="12"/>
  <c r="C86" i="11"/>
  <c r="C160" i="11"/>
  <c r="C88" i="11"/>
  <c r="C89" i="11" s="1"/>
  <c r="C90" i="11"/>
  <c r="C85" i="10"/>
  <c r="C86" i="10" s="1"/>
  <c r="C79" i="10"/>
  <c r="D154" i="15" l="1"/>
  <c r="D153" i="15"/>
  <c r="D152" i="15"/>
  <c r="E150" i="14"/>
  <c r="D149" i="13"/>
  <c r="C89" i="12"/>
  <c r="C91" i="12"/>
  <c r="C91" i="11"/>
  <c r="C102" i="11" s="1"/>
  <c r="C161" i="11"/>
  <c r="C103" i="11"/>
  <c r="C101" i="11"/>
  <c r="C100" i="11"/>
  <c r="C104" i="11"/>
  <c r="C160" i="10"/>
  <c r="C90" i="10"/>
  <c r="C88" i="10"/>
  <c r="C89" i="10" s="1"/>
  <c r="D155" i="15" l="1"/>
  <c r="C167" i="15" s="1"/>
  <c r="C168" i="15" s="1"/>
  <c r="D153" i="14"/>
  <c r="D151" i="14"/>
  <c r="D152" i="14"/>
  <c r="D154" i="14" s="1"/>
  <c r="C166" i="14" s="1"/>
  <c r="C167" i="14" s="1"/>
  <c r="H10" i="9" s="1"/>
  <c r="I10" i="9" s="1"/>
  <c r="E150" i="13"/>
  <c r="C164" i="12"/>
  <c r="C100" i="12"/>
  <c r="C103" i="12"/>
  <c r="C101" i="12"/>
  <c r="C104" i="12"/>
  <c r="C102" i="12"/>
  <c r="C106" i="11"/>
  <c r="C119" i="11" s="1"/>
  <c r="C121" i="11" s="1"/>
  <c r="C162" i="11" s="1"/>
  <c r="C164" i="11" s="1"/>
  <c r="C91" i="10"/>
  <c r="C103" i="10" s="1"/>
  <c r="C100" i="10"/>
  <c r="C104" i="10"/>
  <c r="D153" i="13" l="1"/>
  <c r="D152" i="13"/>
  <c r="D151" i="13"/>
  <c r="C106" i="12"/>
  <c r="C119" i="12" s="1"/>
  <c r="C121" i="12" s="1"/>
  <c r="C165" i="12" s="1"/>
  <c r="C167" i="12"/>
  <c r="D147" i="11"/>
  <c r="C102" i="10"/>
  <c r="C161" i="10"/>
  <c r="C101" i="10"/>
  <c r="C106" i="10" s="1"/>
  <c r="C119" i="10" s="1"/>
  <c r="C121" i="10" s="1"/>
  <c r="C162" i="10" s="1"/>
  <c r="C164" i="10" s="1"/>
  <c r="D147" i="10" s="1"/>
  <c r="D154" i="13" l="1"/>
  <c r="C166" i="13" s="1"/>
  <c r="C167" i="13" s="1"/>
  <c r="I9" i="9" s="1"/>
  <c r="D150" i="12"/>
  <c r="D148" i="11"/>
  <c r="E149" i="11"/>
  <c r="D148" i="10"/>
  <c r="E149" i="10" s="1"/>
  <c r="D151" i="12" l="1"/>
  <c r="E152" i="12" s="1"/>
  <c r="D152" i="11"/>
  <c r="D151" i="11"/>
  <c r="D150" i="11"/>
  <c r="D153" i="11" s="1"/>
  <c r="C165" i="11" s="1"/>
  <c r="C166" i="11" s="1"/>
  <c r="D152" i="10"/>
  <c r="D151" i="10"/>
  <c r="D150" i="10"/>
  <c r="D155" i="12" l="1"/>
  <c r="D154" i="12"/>
  <c r="D153" i="12"/>
  <c r="D153" i="10"/>
  <c r="C165" i="10" s="1"/>
  <c r="C166" i="10" s="1"/>
  <c r="D156" i="12" l="1"/>
  <c r="C168" i="12" s="1"/>
  <c r="C169" i="12" s="1"/>
  <c r="C120" i="3"/>
  <c r="C60" i="3"/>
  <c r="C36" i="3"/>
  <c r="C159" i="3" l="1"/>
  <c r="C45" i="3"/>
  <c r="C66" i="3"/>
  <c r="C70" i="3" s="1"/>
  <c r="C78" i="3" s="1"/>
  <c r="C44" i="3"/>
  <c r="C141" i="3" l="1"/>
  <c r="C163" i="3" s="1"/>
  <c r="C46" i="3"/>
  <c r="D52" i="3" l="1"/>
  <c r="C76" i="3"/>
  <c r="D53" i="3"/>
  <c r="D57" i="3"/>
  <c r="D60" i="3"/>
  <c r="C77" i="3" s="1"/>
  <c r="D58" i="3"/>
  <c r="D56" i="3"/>
  <c r="D59" i="3"/>
  <c r="D55" i="3"/>
  <c r="D54" i="3"/>
  <c r="C85" i="3" l="1"/>
  <c r="C79" i="3"/>
  <c r="C88" i="3" l="1"/>
  <c r="C89" i="3" s="1"/>
  <c r="C90" i="3"/>
  <c r="C160" i="3"/>
  <c r="C91" i="3" l="1"/>
  <c r="C100" i="3" s="1"/>
  <c r="C161" i="3" l="1"/>
  <c r="C102" i="3"/>
  <c r="C101" i="3"/>
  <c r="C103" i="3"/>
  <c r="C104" i="3"/>
  <c r="C106" i="3" l="1"/>
  <c r="C119" i="3" s="1"/>
  <c r="C121" i="3" s="1"/>
  <c r="C162" i="3" s="1"/>
  <c r="C164" i="3" s="1"/>
  <c r="D147" i="3" l="1"/>
  <c r="D148" i="3" s="1"/>
  <c r="E149" i="3" s="1"/>
  <c r="D151" i="3" l="1"/>
  <c r="D150" i="3"/>
  <c r="D152" i="3"/>
  <c r="D153" i="3" l="1"/>
  <c r="C165" i="3" s="1"/>
  <c r="C166" i="3" s="1"/>
  <c r="H6" i="9" l="1"/>
  <c r="I6" i="9" l="1"/>
  <c r="I2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ED282CEE-0FA5-4989-9CF0-82A27E0E0264}">
      <text>
        <r>
          <rPr>
            <sz val="10"/>
            <rFont val="Arial"/>
            <family val="2"/>
          </rPr>
          <t>Informar o n║ do processo interno do órgão ou entidade, que consta no preâmbulo do Edital.</t>
        </r>
      </text>
    </comment>
    <comment ref="B5" authorId="0" shapeId="0" xr:uid="{3EA28C8E-4062-462A-BC0C-55A550E9FF11}">
      <text>
        <r>
          <rPr>
            <sz val="10"/>
            <rFont val="Arial"/>
            <family val="2"/>
          </rPr>
          <t>Informar o nº e o ano que consta no preâmbulo do Edital.</t>
        </r>
      </text>
    </comment>
    <comment ref="C9" authorId="0" shapeId="0" xr:uid="{1436A668-0B6B-4D3B-BF90-F2B9CAD42BF1}">
      <text>
        <r>
          <rPr>
            <sz val="10"/>
            <rFont val="Arial"/>
            <family val="2"/>
          </rPr>
          <t>DD/MM/AAAA</t>
        </r>
      </text>
    </comment>
    <comment ref="C10" authorId="0" shapeId="0" xr:uid="{2323F234-7275-4EE7-8EEF-5F5D8FAA75F4}">
      <text>
        <r>
          <rPr>
            <sz val="10"/>
            <rFont val="Arial"/>
            <family val="2"/>
          </rPr>
          <t>Nome do local onde será executado o serviço.</t>
        </r>
      </text>
    </comment>
    <comment ref="C11" authorId="0" shapeId="0" xr:uid="{A102F3FF-BCB0-4A73-8759-3168AFC70C97}">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03C2A338-6234-44E6-B8ED-0D875D9CDC1C}">
      <text>
        <r>
          <rPr>
            <sz val="10"/>
            <rFont val="Arial"/>
            <family val="2"/>
          </rPr>
          <t>Corresponde ao nº de meses de execução previsto no Edital (período de vigência do contrato a ser celebrado com a Administração).</t>
        </r>
      </text>
    </comment>
    <comment ref="A15" authorId="0" shapeId="0" xr:uid="{273161FD-6D7E-4028-91F7-46D2986B2D20}">
      <text>
        <r>
          <rPr>
            <sz val="10"/>
            <rFont val="Arial"/>
            <family val="2"/>
          </rPr>
          <t>Denominação do serviço a ser contratado. Ex.: Serviço de limpeza e conservação.</t>
        </r>
      </text>
    </comment>
    <comment ref="B15" authorId="0" shapeId="0" xr:uid="{B5AB932B-2B4B-4453-9076-2942512A40C6}">
      <text>
        <r>
          <rPr>
            <sz val="10"/>
            <rFont val="Arial"/>
            <family val="2"/>
          </rPr>
          <t>Parâmetro de medição adotado pela Administração para possibilitar a quantificação dos serviços e a aferição dos resultados. Ex.: Postos, m2</t>
        </r>
      </text>
    </comment>
    <comment ref="C15" authorId="0" shapeId="0" xr:uid="{B814BADC-FA0F-41DE-9F39-3913B0202879}">
      <text>
        <r>
          <rPr>
            <sz val="10"/>
            <rFont val="Arial"/>
            <family val="2"/>
          </rPr>
          <t>Quantitativo da unidade de medida do tipo de serviço.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6C77228F-8673-43BC-A0E7-AFCD894DE17B}">
      <text>
        <r>
          <rPr>
            <sz val="10"/>
            <rFont val="Arial"/>
            <family val="2"/>
          </rPr>
          <t>Informar o n║ do processo interno do órgão ou entidade, que consta no preâmbulo do Edital.</t>
        </r>
      </text>
    </comment>
    <comment ref="B5" authorId="0" shapeId="0" xr:uid="{8C1DA8F7-289E-4EFA-AF78-358C9ADC0DCA}">
      <text>
        <r>
          <rPr>
            <sz val="10"/>
            <rFont val="Arial"/>
            <family val="2"/>
          </rPr>
          <t>Informar o nº e o ano que consta no preâmbulo do Edital.</t>
        </r>
      </text>
    </comment>
    <comment ref="C9" authorId="0" shapeId="0" xr:uid="{BC27BF50-8001-43CA-AC2A-695BE8D0BB30}">
      <text>
        <r>
          <rPr>
            <sz val="10"/>
            <rFont val="Arial"/>
            <family val="2"/>
          </rPr>
          <t>DD/MM/AAAA</t>
        </r>
      </text>
    </comment>
    <comment ref="C10" authorId="0" shapeId="0" xr:uid="{C9EFAF94-CE64-45BF-8B2B-EA996B5C2FAB}">
      <text>
        <r>
          <rPr>
            <sz val="10"/>
            <rFont val="Arial"/>
            <family val="2"/>
          </rPr>
          <t>Nome do local onde será executado o serviço.</t>
        </r>
      </text>
    </comment>
    <comment ref="C11" authorId="0" shapeId="0" xr:uid="{A23DD726-3BDB-4C9A-88CF-E717403EF1DF}">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F73C7E40-24F3-4D74-8ED0-DFACF0491A43}">
      <text>
        <r>
          <rPr>
            <sz val="10"/>
            <rFont val="Arial"/>
            <family val="2"/>
          </rPr>
          <t>Corresponde ao nº de meses de execução previsto no Edital (período de vigência do contrato a ser celebrado com a Administração).</t>
        </r>
      </text>
    </comment>
    <comment ref="A15" authorId="0" shapeId="0" xr:uid="{AE5775C9-1A50-4821-86C2-27237A12E518}">
      <text>
        <r>
          <rPr>
            <sz val="10"/>
            <rFont val="Arial"/>
            <family val="2"/>
          </rPr>
          <t>Denominação do serviço a ser contratado. Ex.: Serviço de limpeza e conservação.</t>
        </r>
      </text>
    </comment>
    <comment ref="B15" authorId="0" shapeId="0" xr:uid="{C9522079-8668-4241-BEB6-740CBA12CFD6}">
      <text>
        <r>
          <rPr>
            <sz val="10"/>
            <rFont val="Arial"/>
            <family val="2"/>
          </rPr>
          <t>Parâmetro de medição adotado pela Administração para possibilitar a quantificação dos serviços e a aferição dos resultados. Ex.: Postos, m2</t>
        </r>
      </text>
    </comment>
    <comment ref="C15" authorId="0" shapeId="0" xr:uid="{5A91D8FB-83FF-423B-8C84-B1B26C59A36E}">
      <text>
        <r>
          <rPr>
            <sz val="10"/>
            <rFont val="Arial"/>
            <family val="2"/>
          </rPr>
          <t>Quantitativo da unidade de medida do tipo de serviço.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7F58CB8B-26B0-4DCE-80C9-8CC4D2A1EBB0}">
      <text>
        <r>
          <rPr>
            <sz val="10"/>
            <rFont val="Arial"/>
            <family val="2"/>
          </rPr>
          <t>Informar o n║ do processo interno do órgão ou entidade, que consta no preâmbulo do Edital.</t>
        </r>
      </text>
    </comment>
    <comment ref="B5" authorId="0" shapeId="0" xr:uid="{B6BFBB2B-F9F5-43B7-86E4-2F0A302CC056}">
      <text>
        <r>
          <rPr>
            <sz val="10"/>
            <rFont val="Arial"/>
            <family val="2"/>
          </rPr>
          <t>Informar o nº e o ano que consta no preâmbulo do Edital.</t>
        </r>
      </text>
    </comment>
    <comment ref="C9" authorId="0" shapeId="0" xr:uid="{3C0257C8-C8BA-4098-8446-F4A8D0B2092A}">
      <text>
        <r>
          <rPr>
            <sz val="10"/>
            <rFont val="Arial"/>
            <family val="2"/>
          </rPr>
          <t>DD/MM/AAAA</t>
        </r>
      </text>
    </comment>
    <comment ref="C10" authorId="0" shapeId="0" xr:uid="{0A46A2EF-D733-4AE2-A380-1EE534BFADCE}">
      <text>
        <r>
          <rPr>
            <sz val="10"/>
            <rFont val="Arial"/>
            <family val="2"/>
          </rPr>
          <t>Nome do local onde será executado o serviço.</t>
        </r>
      </text>
    </comment>
    <comment ref="C11" authorId="0" shapeId="0" xr:uid="{E8698376-66FA-4455-BF41-4A45986BB190}">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9858B02E-622F-4786-93BD-8C1B5BC911C2}">
      <text>
        <r>
          <rPr>
            <sz val="10"/>
            <rFont val="Arial"/>
            <family val="2"/>
          </rPr>
          <t>Corresponde ao nº de meses de execução previsto no Edital (período de vigência do contrato a ser celebrado com a Administração).</t>
        </r>
      </text>
    </comment>
    <comment ref="A15" authorId="0" shapeId="0" xr:uid="{2AD9ACF3-7BFB-4F05-AF67-BBAF1FAA9C28}">
      <text>
        <r>
          <rPr>
            <sz val="10"/>
            <rFont val="Arial"/>
            <family val="2"/>
          </rPr>
          <t>Denominação do serviço a ser contratado. Ex.: Serviço de limpeza e conservação.</t>
        </r>
      </text>
    </comment>
    <comment ref="B15" authorId="0" shapeId="0" xr:uid="{328EA4E2-EFF6-459B-B221-5E1E43174813}">
      <text>
        <r>
          <rPr>
            <sz val="10"/>
            <rFont val="Arial"/>
            <family val="2"/>
          </rPr>
          <t>Parâmetro de medição adotado pela Administração para possibilitar a quantificação dos serviços e a aferição dos resultados. Ex.: Postos, m2</t>
        </r>
      </text>
    </comment>
    <comment ref="C15" authorId="0" shapeId="0" xr:uid="{68935869-5AE6-4190-8A99-D9AF54425071}">
      <text>
        <r>
          <rPr>
            <sz val="10"/>
            <rFont val="Arial"/>
            <family val="2"/>
          </rPr>
          <t>Quantitativo da unidade de medida do tipo de serviço.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A0647CB8-FF14-4C92-B469-739D150CD113}">
      <text>
        <r>
          <rPr>
            <sz val="10"/>
            <rFont val="Arial"/>
            <family val="2"/>
          </rPr>
          <t>Informar o n║ do processo interno do órgão ou entidade, que consta no preâmbulo do Edital.</t>
        </r>
      </text>
    </comment>
    <comment ref="B5" authorId="0" shapeId="0" xr:uid="{2102E3DF-5FFC-4ECE-9C39-DBA6A5641EA0}">
      <text>
        <r>
          <rPr>
            <sz val="10"/>
            <rFont val="Arial"/>
            <family val="2"/>
          </rPr>
          <t>Informar o nº e o ano que consta no preâmbulo do Edital.</t>
        </r>
      </text>
    </comment>
    <comment ref="C9" authorId="0" shapeId="0" xr:uid="{50227B87-97E8-4B44-8565-C2A4CA77BBBF}">
      <text>
        <r>
          <rPr>
            <sz val="10"/>
            <rFont val="Arial"/>
            <family val="2"/>
          </rPr>
          <t>DD/MM/AAAA</t>
        </r>
      </text>
    </comment>
    <comment ref="C10" authorId="0" shapeId="0" xr:uid="{724E2696-EA1E-424F-B628-F607E9EC20C1}">
      <text>
        <r>
          <rPr>
            <sz val="10"/>
            <rFont val="Arial"/>
            <family val="2"/>
          </rPr>
          <t>Nome do local onde será executado o serviço.</t>
        </r>
      </text>
    </comment>
    <comment ref="C11" authorId="0" shapeId="0" xr:uid="{4B84EBDC-9822-4ACB-9C47-A8FDE46683C8}">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1844AE17-4085-42A4-9985-2C5375D6793F}">
      <text>
        <r>
          <rPr>
            <sz val="10"/>
            <rFont val="Arial"/>
            <family val="2"/>
          </rPr>
          <t>Corresponde ao nº de meses de execução previsto no Edital (período de vigência do contrato a ser celebrado com a Administração).</t>
        </r>
      </text>
    </comment>
    <comment ref="A15" authorId="0" shapeId="0" xr:uid="{AE437C7E-8582-4C9C-95DA-94E9CBFB9310}">
      <text>
        <r>
          <rPr>
            <sz val="10"/>
            <rFont val="Arial"/>
            <family val="2"/>
          </rPr>
          <t>Denominação do serviço a ser contratado. Ex.: Serviço de limpeza e conservação.</t>
        </r>
      </text>
    </comment>
    <comment ref="B15" authorId="0" shapeId="0" xr:uid="{75E7A723-E024-4648-90C3-367F0EE1BC44}">
      <text>
        <r>
          <rPr>
            <sz val="10"/>
            <rFont val="Arial"/>
            <family val="2"/>
          </rPr>
          <t>Parâmetro de medição adotado pela Administração para possibilitar a quantificação dos serviços e a aferição dos resultados. Ex.: Postos, m2</t>
        </r>
      </text>
    </comment>
    <comment ref="C15" authorId="0" shapeId="0" xr:uid="{16517185-E9A2-457E-8451-433FFD2BBD06}">
      <text>
        <r>
          <rPr>
            <sz val="10"/>
            <rFont val="Arial"/>
            <family val="2"/>
          </rPr>
          <t>Quantitativo da unidade de medida do tipo de serviço.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A286552D-5B78-4F1A-A5A2-79F85F79AA12}">
      <text>
        <r>
          <rPr>
            <sz val="10"/>
            <rFont val="Arial"/>
            <family val="2"/>
          </rPr>
          <t>Informar o n║ do processo interno do órgão ou entidade, que consta no preâmbulo do Edital.</t>
        </r>
      </text>
    </comment>
    <comment ref="B5" authorId="0" shapeId="0" xr:uid="{9BD1F05F-09CE-4783-808B-9028C8EFFD7F}">
      <text>
        <r>
          <rPr>
            <sz val="10"/>
            <rFont val="Arial"/>
            <family val="2"/>
          </rPr>
          <t>Informar o nº e o ano que consta no preâmbulo do Edital.</t>
        </r>
      </text>
    </comment>
    <comment ref="C9" authorId="0" shapeId="0" xr:uid="{152F2F11-5BBD-431B-BB07-1CEB8FD0FF9C}">
      <text>
        <r>
          <rPr>
            <sz val="10"/>
            <rFont val="Arial"/>
            <family val="2"/>
          </rPr>
          <t>DD/MM/AAAA</t>
        </r>
      </text>
    </comment>
    <comment ref="C10" authorId="0" shapeId="0" xr:uid="{15336F18-1A43-4604-A2C3-600F5AACCAED}">
      <text>
        <r>
          <rPr>
            <sz val="10"/>
            <rFont val="Arial"/>
            <family val="2"/>
          </rPr>
          <t>Nome do local onde será executado o serviço.</t>
        </r>
      </text>
    </comment>
    <comment ref="C11" authorId="0" shapeId="0" xr:uid="{53A8527D-0F86-4598-94A9-1A9BB94C21FA}">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2EAEDEA5-945F-474E-A000-3B0B1A845A97}">
      <text>
        <r>
          <rPr>
            <sz val="10"/>
            <rFont val="Arial"/>
            <family val="2"/>
          </rPr>
          <t>Corresponde ao nº de meses de execução previsto no Edital (período de vigência do contrato a ser celebrado com a Administração).</t>
        </r>
      </text>
    </comment>
    <comment ref="A15" authorId="0" shapeId="0" xr:uid="{38DBAF10-75DF-4710-88EF-EC809FD9B85D}">
      <text>
        <r>
          <rPr>
            <sz val="10"/>
            <rFont val="Arial"/>
            <family val="2"/>
          </rPr>
          <t>Denominação do serviço a ser contratado. Ex.: Serviço de limpeza e conservação.</t>
        </r>
      </text>
    </comment>
    <comment ref="B15" authorId="0" shapeId="0" xr:uid="{8BE42F65-C9CC-4AED-A4F7-36769BBC35EE}">
      <text>
        <r>
          <rPr>
            <sz val="10"/>
            <rFont val="Arial"/>
            <family val="2"/>
          </rPr>
          <t>Parâmetro de medição adotado pela Administração para possibilitar a quantificação dos serviços e a aferição dos resultados. Ex.: Postos, m2</t>
        </r>
      </text>
    </comment>
    <comment ref="C15" authorId="0" shapeId="0" xr:uid="{4B814BF0-79C4-4E77-8D0B-F88CFFCB4405}">
      <text>
        <r>
          <rPr>
            <sz val="10"/>
            <rFont val="Arial"/>
            <family val="2"/>
          </rPr>
          <t>Quantitativo da unidade de medida do tipo de serviço.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0"/>
            <rFont val="Arial"/>
            <family val="2"/>
          </rPr>
          <t>Informar o n║ do processo interno do órgão ou entidade, que consta no preâmbulo do Edital.</t>
        </r>
      </text>
    </comment>
    <comment ref="B5" authorId="0" shapeId="0" xr:uid="{00000000-0006-0000-0100-000002000000}">
      <text>
        <r>
          <rPr>
            <sz val="10"/>
            <rFont val="Arial"/>
            <family val="2"/>
          </rPr>
          <t>Informar o nº e o ano que consta no preâmbulo do Edital.</t>
        </r>
      </text>
    </comment>
    <comment ref="C9" authorId="0" shapeId="0" xr:uid="{00000000-0006-0000-0100-000003000000}">
      <text>
        <r>
          <rPr>
            <sz val="10"/>
            <rFont val="Arial"/>
            <family val="2"/>
          </rPr>
          <t>DD/MM/AAAA</t>
        </r>
      </text>
    </comment>
    <comment ref="C10" authorId="0" shapeId="0" xr:uid="{00000000-0006-0000-0100-000004000000}">
      <text>
        <r>
          <rPr>
            <sz val="10"/>
            <rFont val="Arial"/>
            <family val="2"/>
          </rPr>
          <t>Nome do local onde será executado o serviço.</t>
        </r>
      </text>
    </comment>
    <comment ref="C11" authorId="0" shapeId="0" xr:uid="{00000000-0006-0000-0100-000005000000}">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00000000-0006-0000-0100-000006000000}">
      <text>
        <r>
          <rPr>
            <sz val="10"/>
            <rFont val="Arial"/>
            <family val="2"/>
          </rPr>
          <t>Corresponde ao nº de meses de execução previsto no Edital (período de vigência do contrato a ser celebrado com a Administração).</t>
        </r>
      </text>
    </comment>
    <comment ref="A15" authorId="0" shapeId="0" xr:uid="{00000000-0006-0000-0100-000007000000}">
      <text>
        <r>
          <rPr>
            <sz val="10"/>
            <rFont val="Arial"/>
            <family val="2"/>
          </rPr>
          <t>Denominação do serviço a ser contratado. Ex.: Serviço de limpeza e conservação.</t>
        </r>
      </text>
    </comment>
    <comment ref="B15" authorId="0" shapeId="0" xr:uid="{00000000-0006-0000-0100-000008000000}">
      <text>
        <r>
          <rPr>
            <sz val="10"/>
            <rFont val="Arial"/>
            <family val="2"/>
          </rPr>
          <t>Parâmetro de medição adotado pela Administração para possibilitar a quantificação dos serviços e a aferição dos resultados. Ex.: Postos, m2</t>
        </r>
      </text>
    </comment>
    <comment ref="C15" authorId="0" shapeId="0" xr:uid="{00000000-0006-0000-0100-000009000000}">
      <text>
        <r>
          <rPr>
            <sz val="10"/>
            <rFont val="Arial"/>
            <family val="2"/>
          </rPr>
          <t>Quantitativo da unidade de medida do tipo de serviço.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56B96040-7BD6-4B04-B61D-2B8E41A23F82}">
      <text>
        <r>
          <rPr>
            <sz val="10"/>
            <rFont val="Arial"/>
            <family val="2"/>
          </rPr>
          <t>Informar o n║ do processo interno do órgão ou entidade, que consta no preâmbulo do Edital.</t>
        </r>
      </text>
    </comment>
    <comment ref="B5" authorId="0" shapeId="0" xr:uid="{28A66063-23A7-492F-91CC-B759583DF5CF}">
      <text>
        <r>
          <rPr>
            <sz val="10"/>
            <rFont val="Arial"/>
            <family val="2"/>
          </rPr>
          <t>Informar o nº e o ano que consta no preâmbulo do Edital.</t>
        </r>
      </text>
    </comment>
    <comment ref="C9" authorId="0" shapeId="0" xr:uid="{B0DC511B-F22A-485F-B42C-8407214BD6B3}">
      <text>
        <r>
          <rPr>
            <sz val="10"/>
            <rFont val="Arial"/>
            <family val="2"/>
          </rPr>
          <t>DD/MM/AAAA</t>
        </r>
      </text>
    </comment>
    <comment ref="C10" authorId="0" shapeId="0" xr:uid="{ECE6349E-7389-4B06-A571-896EC8E266D9}">
      <text>
        <r>
          <rPr>
            <sz val="10"/>
            <rFont val="Arial"/>
            <family val="2"/>
          </rPr>
          <t>Nome do local onde será executado o serviço.</t>
        </r>
      </text>
    </comment>
    <comment ref="C11" authorId="0" shapeId="0" xr:uid="{313CF641-0246-4D0E-9C6E-5CFA2785C3F2}">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46045E49-8874-44F3-B3BC-16B3983CB550}">
      <text>
        <r>
          <rPr>
            <sz val="10"/>
            <rFont val="Arial"/>
            <family val="2"/>
          </rPr>
          <t>Corresponde ao nº de meses de execução previsto no Edital (período de vigência do contrato a ser celebrado com a Administração).</t>
        </r>
      </text>
    </comment>
    <comment ref="A15" authorId="0" shapeId="0" xr:uid="{F3693930-0C9D-437F-8754-FDD5A4669FDE}">
      <text>
        <r>
          <rPr>
            <sz val="10"/>
            <rFont val="Arial"/>
            <family val="2"/>
          </rPr>
          <t>Denominação do serviço a ser contratado. Ex.: Serviço de limpeza e conservação.</t>
        </r>
      </text>
    </comment>
    <comment ref="B15" authorId="0" shapeId="0" xr:uid="{78943F4E-49FB-4834-8597-B6C1F876630E}">
      <text>
        <r>
          <rPr>
            <sz val="10"/>
            <rFont val="Arial"/>
            <family val="2"/>
          </rPr>
          <t>Parâmetro de medição adotado pela Administração para possibilitar a quantificação dos serviços e a aferição dos resultados. Ex.: Postos, m2</t>
        </r>
      </text>
    </comment>
    <comment ref="C15" authorId="0" shapeId="0" xr:uid="{C5A112BD-C1D4-423A-A6BA-1B204042AA53}">
      <text>
        <r>
          <rPr>
            <sz val="10"/>
            <rFont val="Arial"/>
            <family val="2"/>
          </rPr>
          <t>Quantitativo da unidade de medida do tipo de serviço.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5A25F42B-44ED-483B-898B-072CB0220915}">
      <text>
        <r>
          <rPr>
            <sz val="10"/>
            <rFont val="Arial"/>
            <family val="2"/>
          </rPr>
          <t>Informar o n║ do processo interno do órgão ou entidade, que consta no preâmbulo do Edital.</t>
        </r>
      </text>
    </comment>
    <comment ref="B5" authorId="0" shapeId="0" xr:uid="{DC01203A-7463-4002-982F-F92E36ABB307}">
      <text>
        <r>
          <rPr>
            <sz val="10"/>
            <rFont val="Arial"/>
            <family val="2"/>
          </rPr>
          <t>Informar o nº e o ano que consta no preâmbulo do Edital.</t>
        </r>
      </text>
    </comment>
    <comment ref="C9" authorId="0" shapeId="0" xr:uid="{F31A6BDB-5BBA-430D-B7C6-D5A9CFF42278}">
      <text>
        <r>
          <rPr>
            <sz val="10"/>
            <rFont val="Arial"/>
            <family val="2"/>
          </rPr>
          <t>DD/MM/AAAA</t>
        </r>
      </text>
    </comment>
    <comment ref="C10" authorId="0" shapeId="0" xr:uid="{0D6412F3-A668-4565-BEDD-71523DBCF5F9}">
      <text>
        <r>
          <rPr>
            <sz val="10"/>
            <rFont val="Arial"/>
            <family val="2"/>
          </rPr>
          <t>Nome do local onde será executado o serviço.</t>
        </r>
      </text>
    </comment>
    <comment ref="C11" authorId="0" shapeId="0" xr:uid="{13458FD6-8928-40A2-8D53-E135D6CDCB9F}">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D0848494-5AF9-4783-836A-80CE7564C410}">
      <text>
        <r>
          <rPr>
            <sz val="10"/>
            <rFont val="Arial"/>
            <family val="2"/>
          </rPr>
          <t>Corresponde ao nº de meses de execução previsto no Edital (período de vigência do contrato a ser celebrado com a Administração).</t>
        </r>
      </text>
    </comment>
    <comment ref="A15" authorId="0" shapeId="0" xr:uid="{A0E2B985-E05F-492D-9B85-524641932FB8}">
      <text>
        <r>
          <rPr>
            <sz val="10"/>
            <rFont val="Arial"/>
            <family val="2"/>
          </rPr>
          <t>Denominação do serviço a ser contratado. Ex.: Serviço de limpeza e conservação.</t>
        </r>
      </text>
    </comment>
    <comment ref="B15" authorId="0" shapeId="0" xr:uid="{B5616C8A-9F3C-4395-9EAB-38E300885756}">
      <text>
        <r>
          <rPr>
            <sz val="10"/>
            <rFont val="Arial"/>
            <family val="2"/>
          </rPr>
          <t>Parâmetro de medição adotado pela Administração para possibilitar a quantificação dos serviços e a aferição dos resultados. Ex.: Postos, m2</t>
        </r>
      </text>
    </comment>
    <comment ref="C15" authorId="0" shapeId="0" xr:uid="{A49E5D1C-E501-4C49-B6D2-F9D0FD9D4A72}">
      <text>
        <r>
          <rPr>
            <sz val="10"/>
            <rFont val="Arial"/>
            <family val="2"/>
          </rPr>
          <t>Quantitativo da unidade de medida do tipo de serviço.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54857249-8FC1-4F9F-B4E2-29169F99C49C}">
      <text>
        <r>
          <rPr>
            <sz val="10"/>
            <rFont val="Arial"/>
            <family val="2"/>
          </rPr>
          <t>Informar o n║ do processo interno do órgão ou entidade, que consta no preâmbulo do Edital.</t>
        </r>
      </text>
    </comment>
    <comment ref="B5" authorId="0" shapeId="0" xr:uid="{C490BA36-ED5D-42F4-B72E-F0B48CABBFF6}">
      <text>
        <r>
          <rPr>
            <sz val="10"/>
            <rFont val="Arial"/>
            <family val="2"/>
          </rPr>
          <t>Informar o nº e o ano que consta no preâmbulo do Edital.</t>
        </r>
      </text>
    </comment>
    <comment ref="C9" authorId="0" shapeId="0" xr:uid="{5D1EF516-6C6B-4EE8-B19E-8B9FB8632414}">
      <text>
        <r>
          <rPr>
            <sz val="10"/>
            <rFont val="Arial"/>
            <family val="2"/>
          </rPr>
          <t>DD/MM/AAAA</t>
        </r>
      </text>
    </comment>
    <comment ref="C10" authorId="0" shapeId="0" xr:uid="{649EC87B-771C-487D-9DE8-EB2AA0CAD9F6}">
      <text>
        <r>
          <rPr>
            <sz val="10"/>
            <rFont val="Arial"/>
            <family val="2"/>
          </rPr>
          <t>Nome do local onde será executado o serviço.</t>
        </r>
      </text>
    </comment>
    <comment ref="C11" authorId="0" shapeId="0" xr:uid="{A52AFB5B-1A47-4449-B5B5-A1AFC86CB979}">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B55ABAE9-8C8B-454F-9CC0-30ED02AC73EB}">
      <text>
        <r>
          <rPr>
            <sz val="10"/>
            <rFont val="Arial"/>
            <family val="2"/>
          </rPr>
          <t>Corresponde ao nº de meses de execução previsto no Edital (período de vigência do contrato a ser celebrado com a Administração).</t>
        </r>
      </text>
    </comment>
    <comment ref="A15" authorId="0" shapeId="0" xr:uid="{5496245C-0DFD-4AF9-9330-A09D94BB4096}">
      <text>
        <r>
          <rPr>
            <sz val="10"/>
            <rFont val="Arial"/>
            <family val="2"/>
          </rPr>
          <t>Denominação do serviço a ser contratado. Ex.: Serviço de limpeza e conservação.</t>
        </r>
      </text>
    </comment>
    <comment ref="B15" authorId="0" shapeId="0" xr:uid="{FC1ACE88-BDDA-49F2-979B-F075DDF935EF}">
      <text>
        <r>
          <rPr>
            <sz val="10"/>
            <rFont val="Arial"/>
            <family val="2"/>
          </rPr>
          <t>Parâmetro de medição adotado pela Administração para possibilitar a quantificação dos serviços e a aferição dos resultados. Ex.: Postos, m2</t>
        </r>
      </text>
    </comment>
    <comment ref="C15" authorId="0" shapeId="0" xr:uid="{0728DF18-F260-4528-810D-B0E0D95A4C6C}">
      <text>
        <r>
          <rPr>
            <sz val="10"/>
            <rFont val="Arial"/>
            <family val="2"/>
          </rPr>
          <t>Quantitativo da unidade de medida do tipo de serviço.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90994314-5F0E-48E3-80AA-58A6215EA004}">
      <text>
        <r>
          <rPr>
            <sz val="10"/>
            <rFont val="Arial"/>
            <family val="2"/>
          </rPr>
          <t>Informar o n║ do processo interno do órgão ou entidade, que consta no preâmbulo do Edital.</t>
        </r>
      </text>
    </comment>
    <comment ref="B5" authorId="0" shapeId="0" xr:uid="{7C6385F7-7B5A-4D82-A6DB-236C1A6F4D8D}">
      <text>
        <r>
          <rPr>
            <sz val="10"/>
            <rFont val="Arial"/>
            <family val="2"/>
          </rPr>
          <t>Informar o nº e o ano que consta no preâmbulo do Edital.</t>
        </r>
      </text>
    </comment>
    <comment ref="C9" authorId="0" shapeId="0" xr:uid="{289B2B9B-34FF-4179-8259-EC44FA98FD15}">
      <text>
        <r>
          <rPr>
            <sz val="10"/>
            <rFont val="Arial"/>
            <family val="2"/>
          </rPr>
          <t>DD/MM/AAAA</t>
        </r>
      </text>
    </comment>
    <comment ref="C10" authorId="0" shapeId="0" xr:uid="{5F1C0C50-023F-463C-B8E6-9815671E9E6F}">
      <text>
        <r>
          <rPr>
            <sz val="10"/>
            <rFont val="Arial"/>
            <family val="2"/>
          </rPr>
          <t>Nome do local onde será executado o serviço.</t>
        </r>
      </text>
    </comment>
    <comment ref="C11" authorId="0" shapeId="0" xr:uid="{73DFA9E5-1467-41E8-8EF6-C29EC3921290}">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05500249-A9BE-46DE-B6BA-FB278C55A10A}">
      <text>
        <r>
          <rPr>
            <sz val="10"/>
            <rFont val="Arial"/>
            <family val="2"/>
          </rPr>
          <t>Corresponde ao nº de meses de execução previsto no Edital (período de vigência do contrato a ser celebrado com a Administração).</t>
        </r>
      </text>
    </comment>
    <comment ref="A15" authorId="0" shapeId="0" xr:uid="{2BAD4CAE-3F72-45CE-8343-6163C0E30C64}">
      <text>
        <r>
          <rPr>
            <sz val="10"/>
            <rFont val="Arial"/>
            <family val="2"/>
          </rPr>
          <t>Denominação do serviço a ser contratado. Ex.: Serviço de limpeza e conservação.</t>
        </r>
      </text>
    </comment>
    <comment ref="B15" authorId="0" shapeId="0" xr:uid="{34C05C42-8A94-4B4C-BAE2-EE0384401B6A}">
      <text>
        <r>
          <rPr>
            <sz val="10"/>
            <rFont val="Arial"/>
            <family val="2"/>
          </rPr>
          <t>Parâmetro de medição adotado pela Administração para possibilitar a quantificação dos serviços e a aferição dos resultados. Ex.: Postos, m2</t>
        </r>
      </text>
    </comment>
    <comment ref="C15" authorId="0" shapeId="0" xr:uid="{4F318859-D34B-4469-A005-F6A756A8AC0C}">
      <text>
        <r>
          <rPr>
            <sz val="10"/>
            <rFont val="Arial"/>
            <family val="2"/>
          </rPr>
          <t>Quantitativo da unidade de medida do tipo de serviço.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FB6F5E21-DD44-4CCC-AFCF-D0FACACE03F5}">
      <text>
        <r>
          <rPr>
            <sz val="10"/>
            <rFont val="Arial"/>
            <family val="2"/>
          </rPr>
          <t>Informar o n║ do processo interno do órgão ou entidade, que consta no preâmbulo do Edital.</t>
        </r>
      </text>
    </comment>
    <comment ref="B5" authorId="0" shapeId="0" xr:uid="{27D2719E-9D14-419E-9771-A3614035B433}">
      <text>
        <r>
          <rPr>
            <sz val="10"/>
            <rFont val="Arial"/>
            <family val="2"/>
          </rPr>
          <t>Informar o nº e o ano que consta no preâmbulo do Edital.</t>
        </r>
      </text>
    </comment>
    <comment ref="C9" authorId="0" shapeId="0" xr:uid="{1205A06E-DDB4-44F3-A6C3-016822118643}">
      <text>
        <r>
          <rPr>
            <sz val="10"/>
            <rFont val="Arial"/>
            <family val="2"/>
          </rPr>
          <t>DD/MM/AAAA</t>
        </r>
      </text>
    </comment>
    <comment ref="C10" authorId="0" shapeId="0" xr:uid="{EE5FE84F-F6D6-4980-924B-B842F546DF1E}">
      <text>
        <r>
          <rPr>
            <sz val="10"/>
            <rFont val="Arial"/>
            <family val="2"/>
          </rPr>
          <t>Nome do local onde será executado o serviço.</t>
        </r>
      </text>
    </comment>
    <comment ref="C11" authorId="0" shapeId="0" xr:uid="{B64C22A3-2E75-4060-B606-84CE2546C0CF}">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A42C205F-9FB8-4A34-A650-E67975D57929}">
      <text>
        <r>
          <rPr>
            <sz val="10"/>
            <rFont val="Arial"/>
            <family val="2"/>
          </rPr>
          <t>Corresponde ao nº de meses de execução previsto no Edital (período de vigência do contrato a ser celebrado com a Administração).</t>
        </r>
      </text>
    </comment>
    <comment ref="A15" authorId="0" shapeId="0" xr:uid="{D6A6509B-7627-41B8-8AC4-F2DE58D4286E}">
      <text>
        <r>
          <rPr>
            <sz val="10"/>
            <rFont val="Arial"/>
            <family val="2"/>
          </rPr>
          <t>Denominação do serviço a ser contratado. Ex.: Serviço de limpeza e conservação.</t>
        </r>
      </text>
    </comment>
    <comment ref="B15" authorId="0" shapeId="0" xr:uid="{72858638-48B6-4C06-8459-55F1D8E3C2F4}">
      <text>
        <r>
          <rPr>
            <sz val="10"/>
            <rFont val="Arial"/>
            <family val="2"/>
          </rPr>
          <t>Parâmetro de medição adotado pela Administração para possibilitar a quantificação dos serviços e a aferição dos resultados. Ex.: Postos, m2</t>
        </r>
      </text>
    </comment>
    <comment ref="C15" authorId="0" shapeId="0" xr:uid="{1E44E8EA-DF97-422A-BD9D-1EC6458428EB}">
      <text>
        <r>
          <rPr>
            <sz val="10"/>
            <rFont val="Arial"/>
            <family val="2"/>
          </rPr>
          <t>Quantitativo da unidade de medida do tipo de serviço.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12CE3544-4097-4B06-B9AC-B722DB6C93CC}">
      <text>
        <r>
          <rPr>
            <sz val="10"/>
            <rFont val="Arial"/>
            <family val="2"/>
          </rPr>
          <t>Informar o n║ do processo interno do órgão ou entidade, que consta no preâmbulo do Edital.</t>
        </r>
      </text>
    </comment>
    <comment ref="B5" authorId="0" shapeId="0" xr:uid="{2C0F016B-B951-409B-87BE-6E166B71D1CC}">
      <text>
        <r>
          <rPr>
            <sz val="10"/>
            <rFont val="Arial"/>
            <family val="2"/>
          </rPr>
          <t>Informar o nº e o ano que consta no preâmbulo do Edital.</t>
        </r>
      </text>
    </comment>
    <comment ref="C9" authorId="0" shapeId="0" xr:uid="{5953A889-42B1-426E-A9D8-8654A7C3CD0E}">
      <text>
        <r>
          <rPr>
            <sz val="10"/>
            <rFont val="Arial"/>
            <family val="2"/>
          </rPr>
          <t>DD/MM/AAAA</t>
        </r>
      </text>
    </comment>
    <comment ref="C10" authorId="0" shapeId="0" xr:uid="{69BBB815-7418-4822-8E48-CB8B262DAF1A}">
      <text>
        <r>
          <rPr>
            <sz val="10"/>
            <rFont val="Arial"/>
            <family val="2"/>
          </rPr>
          <t>Nome do local onde será executado o serviço.</t>
        </r>
      </text>
    </comment>
    <comment ref="C11" authorId="0" shapeId="0" xr:uid="{B61496BD-FE55-46AE-B1EC-3469E964D23E}">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41DF796A-78D1-4482-AD25-912E277C0633}">
      <text>
        <r>
          <rPr>
            <sz val="10"/>
            <rFont val="Arial"/>
            <family val="2"/>
          </rPr>
          <t>Corresponde ao nº de meses de execução previsto no Edital (período de vigência do contrato a ser celebrado com a Administração).</t>
        </r>
      </text>
    </comment>
    <comment ref="A15" authorId="0" shapeId="0" xr:uid="{D5991628-9998-42CE-B88B-6344D9FD1F45}">
      <text>
        <r>
          <rPr>
            <sz val="10"/>
            <rFont val="Arial"/>
            <family val="2"/>
          </rPr>
          <t>Denominação do serviço a ser contratado. Ex.: Serviço de limpeza e conservação.</t>
        </r>
      </text>
    </comment>
    <comment ref="B15" authorId="0" shapeId="0" xr:uid="{7340190F-DFDA-4DED-A65D-52151A30E82F}">
      <text>
        <r>
          <rPr>
            <sz val="10"/>
            <rFont val="Arial"/>
            <family val="2"/>
          </rPr>
          <t>Parâmetro de medição adotado pela Administração para possibilitar a quantificação dos serviços e a aferição dos resultados. Ex.: Postos, m2</t>
        </r>
      </text>
    </comment>
    <comment ref="C15" authorId="0" shapeId="0" xr:uid="{355B048B-7D66-42FB-A188-F3DDB47F4AC9}">
      <text>
        <r>
          <rPr>
            <sz val="10"/>
            <rFont val="Arial"/>
            <family val="2"/>
          </rPr>
          <t>Quantitativo da unidade de medida do tipo de serviço.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FDA46E70-22F8-44CE-AD85-2FF56F1CCC2E}">
      <text>
        <r>
          <rPr>
            <sz val="10"/>
            <rFont val="Arial"/>
            <family val="2"/>
          </rPr>
          <t>Informar o n║ do processo interno do órgão ou entidade, que consta no preâmbulo do Edital.</t>
        </r>
      </text>
    </comment>
    <comment ref="B5" authorId="0" shapeId="0" xr:uid="{07E28D6D-64A1-40E1-A18D-0A8755A7055A}">
      <text>
        <r>
          <rPr>
            <sz val="10"/>
            <rFont val="Arial"/>
            <family val="2"/>
          </rPr>
          <t>Informar o nº e o ano que consta no preâmbulo do Edital.</t>
        </r>
      </text>
    </comment>
    <comment ref="C9" authorId="0" shapeId="0" xr:uid="{4E8AB5DD-FE11-4C51-9F1E-104C534E1446}">
      <text>
        <r>
          <rPr>
            <sz val="10"/>
            <rFont val="Arial"/>
            <family val="2"/>
          </rPr>
          <t>DD/MM/AAAA</t>
        </r>
      </text>
    </comment>
    <comment ref="C10" authorId="0" shapeId="0" xr:uid="{5391D419-3958-4B96-A5CB-1D48E080670E}">
      <text>
        <r>
          <rPr>
            <sz val="10"/>
            <rFont val="Arial"/>
            <family val="2"/>
          </rPr>
          <t>Nome do local onde será executado o serviço.</t>
        </r>
      </text>
    </comment>
    <comment ref="C11" authorId="0" shapeId="0" xr:uid="{791B213C-CCE9-4087-B4A1-9ED604301F7B}">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0E9330D0-9266-498F-9362-B4DAC591FA16}">
      <text>
        <r>
          <rPr>
            <sz val="10"/>
            <rFont val="Arial"/>
            <family val="2"/>
          </rPr>
          <t>Corresponde ao nº de meses de execução previsto no Edital (período de vigência do contrato a ser celebrado com a Administração).</t>
        </r>
      </text>
    </comment>
    <comment ref="A15" authorId="0" shapeId="0" xr:uid="{669FDF78-6634-42C3-A5D6-AE13E0F6C1EA}">
      <text>
        <r>
          <rPr>
            <sz val="10"/>
            <rFont val="Arial"/>
            <family val="2"/>
          </rPr>
          <t>Denominação do serviço a ser contratado. Ex.: Serviço de limpeza e conservação.</t>
        </r>
      </text>
    </comment>
    <comment ref="B15" authorId="0" shapeId="0" xr:uid="{E8537408-23A2-48C4-8D94-F00606061B56}">
      <text>
        <r>
          <rPr>
            <sz val="10"/>
            <rFont val="Arial"/>
            <family val="2"/>
          </rPr>
          <t>Parâmetro de medição adotado pela Administração para possibilitar a quantificação dos serviços e a aferição dos resultados. Ex.: Postos, m2</t>
        </r>
      </text>
    </comment>
    <comment ref="C15" authorId="0" shapeId="0" xr:uid="{45F30288-316E-4D47-A107-D6EE89589BE5}">
      <text>
        <r>
          <rPr>
            <sz val="10"/>
            <rFont val="Arial"/>
            <family val="2"/>
          </rPr>
          <t>Quantitativo da unidade de medida do tipo de serviço.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7695966C-E32B-4516-A9BA-424A050B891A}">
      <text>
        <r>
          <rPr>
            <sz val="10"/>
            <rFont val="Arial"/>
            <family val="2"/>
          </rPr>
          <t>Informar o n║ do processo interno do órgão ou entidade, que consta no preâmbulo do Edital.</t>
        </r>
      </text>
    </comment>
    <comment ref="B5" authorId="0" shapeId="0" xr:uid="{A5AA5755-C5C9-43EB-A0DB-FA849B6E4599}">
      <text>
        <r>
          <rPr>
            <sz val="10"/>
            <rFont val="Arial"/>
            <family val="2"/>
          </rPr>
          <t>Informar o nº e o ano que consta no preâmbulo do Edital.</t>
        </r>
      </text>
    </comment>
    <comment ref="C9" authorId="0" shapeId="0" xr:uid="{54218E77-29BB-40F9-81AE-43B0FD01074E}">
      <text>
        <r>
          <rPr>
            <sz val="10"/>
            <rFont val="Arial"/>
            <family val="2"/>
          </rPr>
          <t>DD/MM/AAAA</t>
        </r>
      </text>
    </comment>
    <comment ref="C10" authorId="0" shapeId="0" xr:uid="{8907C5AD-D594-410F-A774-BD789EB2C1E7}">
      <text>
        <r>
          <rPr>
            <sz val="10"/>
            <rFont val="Arial"/>
            <family val="2"/>
          </rPr>
          <t>Nome do local onde será executado o serviço.</t>
        </r>
      </text>
    </comment>
    <comment ref="C11" authorId="0" shapeId="0" xr:uid="{0DEC6B7B-D167-4DA8-8664-08CED60E252B}">
      <text>
        <r>
          <rPr>
            <sz val="10"/>
            <rFont val="Arial"/>
            <family val="2"/>
          </rPr>
          <t>Data da celebração do Acordo, Convenção ou Sentença Normativa em Dissídio Coletivo. Nos casos em que houver, o termo aditivo deverá ser informado, principalmente nos casos em que a convenção coletiva ou acordo coletivo tiver vigência por mais de um ano.</t>
        </r>
      </text>
    </comment>
    <comment ref="C12" authorId="0" shapeId="0" xr:uid="{B45FD23C-A9A0-48E7-B764-BB6A92775335}">
      <text>
        <r>
          <rPr>
            <sz val="10"/>
            <rFont val="Arial"/>
            <family val="2"/>
          </rPr>
          <t>Corresponde ao nº de meses de execução previsto no Edital (período de vigência do contrato a ser celebrado com a Administração).</t>
        </r>
      </text>
    </comment>
    <comment ref="A15" authorId="0" shapeId="0" xr:uid="{02731A7D-6B6A-4AB6-A006-B5802C7D6A49}">
      <text>
        <r>
          <rPr>
            <sz val="10"/>
            <rFont val="Arial"/>
            <family val="2"/>
          </rPr>
          <t>Denominação do serviço a ser contratado. Ex.: Serviço de limpeza e conservação.</t>
        </r>
      </text>
    </comment>
    <comment ref="B15" authorId="0" shapeId="0" xr:uid="{62FEBA6D-831C-48D7-936B-5AEB85B31C28}">
      <text>
        <r>
          <rPr>
            <sz val="10"/>
            <rFont val="Arial"/>
            <family val="2"/>
          </rPr>
          <t>Parâmetro de medição adotado pela Administração para possibilitar a quantificação dos serviços e a aferição dos resultados. Ex.: Postos, m2</t>
        </r>
      </text>
    </comment>
    <comment ref="C15" authorId="0" shapeId="0" xr:uid="{22E98FA3-C756-48DB-8C30-92FC316BDB93}">
      <text>
        <r>
          <rPr>
            <sz val="10"/>
            <rFont val="Arial"/>
            <family val="2"/>
          </rPr>
          <t>Quantitativo da unidade de medida do tipo de serviço.</t>
        </r>
      </text>
    </comment>
  </commentList>
</comments>
</file>

<file path=xl/sharedStrings.xml><?xml version="1.0" encoding="utf-8"?>
<sst xmlns="http://schemas.openxmlformats.org/spreadsheetml/2006/main" count="3417" uniqueCount="320">
  <si>
    <t>Valor</t>
  </si>
  <si>
    <t>Adicional Noturno</t>
  </si>
  <si>
    <t>Total</t>
  </si>
  <si>
    <t>SEBRAE</t>
  </si>
  <si>
    <t>INCRA</t>
  </si>
  <si>
    <t>FGTS</t>
  </si>
  <si>
    <t>Insumos Diversos</t>
  </si>
  <si>
    <t>Custos Indiretos, Tributos e Lucro</t>
  </si>
  <si>
    <t>Custos Indiretos</t>
  </si>
  <si>
    <t>Tributos</t>
  </si>
  <si>
    <t>Lucro</t>
  </si>
  <si>
    <t>Item</t>
  </si>
  <si>
    <t>qte</t>
  </si>
  <si>
    <t>Vr. Unitario</t>
  </si>
  <si>
    <t>Módulo 1 - Composição da Remuneração</t>
  </si>
  <si>
    <t>Composição da Remuneração</t>
  </si>
  <si>
    <t>Valor (R$)</t>
  </si>
  <si>
    <t>A</t>
  </si>
  <si>
    <t>Salário-Base</t>
  </si>
  <si>
    <t>B</t>
  </si>
  <si>
    <t>Adicional de Periculosidade</t>
  </si>
  <si>
    <t>C</t>
  </si>
  <si>
    <t>Adicional de Insalubridade</t>
  </si>
  <si>
    <t>D</t>
  </si>
  <si>
    <t>E</t>
  </si>
  <si>
    <t>Adicional de Hora Noturna Reduzida</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</si>
  <si>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</si>
  <si>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</si>
  <si>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</si>
  <si>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</si>
  <si>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</si>
  <si>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</si>
  <si>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</si>
  <si>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13º (décimo terceiro) Salário</t>
  </si>
  <si>
    <t>Férias e Adicional de Férias</t>
  </si>
  <si>
    <t>Submódulo 2.2 - Encargos Previdenciários (GPS), Fundo de Garantia por Tempo de Serviço (FGTS) e outras contribuições.</t>
  </si>
  <si>
    <t>2.2</t>
  </si>
  <si>
    <t>GPS, FGTS e outras contribuições</t>
  </si>
  <si>
    <t>Percentual (%)</t>
  </si>
  <si>
    <t>INSS</t>
  </si>
  <si>
    <t>Salário Educação</t>
  </si>
  <si>
    <t>SAT</t>
  </si>
  <si>
    <t>SESC ou SESI</t>
  </si>
  <si>
    <t>SENAI - SENAC</t>
  </si>
  <si>
    <t>H</t>
  </si>
  <si>
    <t xml:space="preserve">Total </t>
  </si>
  <si>
    <t>Submódulo 2.3 - Benefícios Mensais e Diários.</t>
  </si>
  <si>
    <t>2.3</t>
  </si>
  <si>
    <t>Benefícios Mensais e Diários</t>
  </si>
  <si>
    <t>Transporte</t>
  </si>
  <si>
    <t>Auxílio-Refeição/Alimentação</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</si>
  <si>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</si>
  <si>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</si>
  <si>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</si>
  <si>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</si>
  <si>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</si>
  <si>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</si>
  <si>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Multa do FGTS e contribuição social sobre o Aviso Prévio Indenizado</t>
  </si>
  <si>
    <t>Aviso Prévio Trabalhado</t>
  </si>
  <si>
    <t>Multa do FGTS e contribuição social sobre o Aviso Prévio Trabalhado</t>
  </si>
  <si>
    <t>Módulo 4 - Custo de Reposição do Profissional Ausente</t>
  </si>
  <si>
    <t>4.1</t>
  </si>
  <si>
    <t>4.2</t>
  </si>
  <si>
    <t>Quadro-Resumo do Módulo 4 - Custo de Reposição do Profissional Ausente</t>
  </si>
  <si>
    <t>Custo de Reposição do Profissional Ausente</t>
  </si>
  <si>
    <t>Módulo 5 - Insumos Diversos</t>
  </si>
  <si>
    <t>Uniformes</t>
  </si>
  <si>
    <t>Materiais</t>
  </si>
  <si>
    <t>Equipamentos</t>
  </si>
  <si>
    <t>Módulo 6 - Custos Indiretos, Tributos e Lucro</t>
  </si>
  <si>
    <t>2. QUADRO-RESUMO DO CUSTO POR EMPREGADO</t>
  </si>
  <si>
    <t>Mão de obra vinculada à execução contratual (valor por empregado)</t>
  </si>
  <si>
    <t>Subtotal (A + B +C+ D+E)</t>
  </si>
  <si>
    <t>Módulo 6 – Custos Indiretos, Tributos e Lucro</t>
  </si>
  <si>
    <t xml:space="preserve">Valor Total por Empregado </t>
  </si>
  <si>
    <t>PLANILHA DE CUSTOS E FORMAÇÃO DE PREÇOS</t>
  </si>
  <si>
    <t>MODELO PARA A CONSOLIDAÇÃO E APRESENTAÇÃO DE PROPOSTAS</t>
  </si>
  <si>
    <t>Com ajustes após publicação da Lei n° 13.467, de 2017.</t>
  </si>
  <si>
    <t>Nº Processo:</t>
  </si>
  <si>
    <t>Licitação Nº:</t>
  </si>
  <si>
    <t>Dia:</t>
  </si>
  <si>
    <t>DISCRIMINAÇÃO DOS SERVIÇOS (DADOS REFERENTE À CONTRATAÇÃO)</t>
  </si>
  <si>
    <t>Data de apresentação da proposta (dia/mês/ano)</t>
  </si>
  <si>
    <t>Município/UF:</t>
  </si>
  <si>
    <t>Manaus/AM</t>
  </si>
  <si>
    <t>Ano, Acordo, Convenção ou Sentença Normativa em Dissídio Coletivo:</t>
  </si>
  <si>
    <t>Nº de meses de execução contratual:</t>
  </si>
  <si>
    <t>IDENTIFICAÇÃO DO SERVIÇO</t>
  </si>
  <si>
    <t>Tipo de Serviço</t>
  </si>
  <si>
    <t>Unidade de Medida</t>
  </si>
  <si>
    <t>Quantidade (total) a contratar (em função da unidade de medida)</t>
  </si>
  <si>
    <t>Posto</t>
  </si>
  <si>
    <t>Encarregado</t>
  </si>
  <si>
    <t>MÃO-DE-OBRA VINCULADA À EXECUÇÃO CONTRATUAL</t>
  </si>
  <si>
    <t>Dados complementares para composição dos custos referente à mão-de-obra</t>
  </si>
  <si>
    <t>Tipo de serviço (mesmo serviço com características distintas):</t>
  </si>
  <si>
    <t>Salário Normativo da categoria profissional:</t>
  </si>
  <si>
    <t>Categoria profissional (vinculada à execução contratual):</t>
  </si>
  <si>
    <t>Encarregado de Serviços - 44 horas semanais</t>
  </si>
  <si>
    <t>Data base da categoria (dia/mês/ano):</t>
  </si>
  <si>
    <t>Cesta Básica</t>
  </si>
  <si>
    <t>Assistência Social e Familiar</t>
  </si>
  <si>
    <t>Incidência de GPS, FGTS e outras contribuições sobre o Aviso Prévio Trabalhado</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</si>
  <si>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</si>
  <si>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</si>
  <si>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</si>
  <si>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</si>
  <si>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</si>
  <si>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(especificar)</t>
  </si>
  <si>
    <t>Substituto nas Ausências Legais</t>
  </si>
  <si>
    <t>Submódulo 4.1 - Substituto nas Ausências Legais</t>
  </si>
  <si>
    <t>Substituto na cobertura de Intervalo para repouso e alimentação</t>
  </si>
  <si>
    <t>Submódulo 4.2 - Substituto na Intrajornada</t>
  </si>
  <si>
    <t>Substituto na Intrajornada</t>
  </si>
  <si>
    <t xml:space="preserve">Custo anual por Empregado  </t>
  </si>
  <si>
    <t xml:space="preserve">Custo mensal por Empregado  </t>
  </si>
  <si>
    <t>C.3. Tributos Municipais (ISS)</t>
  </si>
  <si>
    <t>C.1. Tributos Federais (PIS)</t>
  </si>
  <si>
    <t>C.2. Tributos Federais (COFINS)</t>
  </si>
  <si>
    <t>ITEM</t>
  </si>
  <si>
    <t>UNIVERSIDADE FEDERAL DO AMAZONAS</t>
  </si>
  <si>
    <t>Departamento de Logística e Meio Ambiente</t>
  </si>
  <si>
    <t>______________________________</t>
  </si>
  <si>
    <t xml:space="preserve">          Diego de Paula Braga Nogueira</t>
  </si>
  <si>
    <t xml:space="preserve">              Membro de Planejamento</t>
  </si>
  <si>
    <t xml:space="preserve">ESPECIFICAÇÃO DOS MATERIAIS </t>
  </si>
  <si>
    <t>UNIDADE</t>
  </si>
  <si>
    <t>QTDE ESTIMADA ANUAL</t>
  </si>
  <si>
    <t>MARCA/FABRICANTE</t>
  </si>
  <si>
    <t>PREÇO MÉDIO</t>
  </si>
  <si>
    <t>UNITÁRIO</t>
  </si>
  <si>
    <t xml:space="preserve">TOTAL </t>
  </si>
  <si>
    <t>pacote</t>
  </si>
  <si>
    <t>unidade</t>
  </si>
  <si>
    <t>ANEXO I -PLANILHA RESUMO ADMINISTRAÇÃO - VALORES MÁXIMOS</t>
  </si>
  <si>
    <t>Tipo</t>
  </si>
  <si>
    <t>Turno</t>
  </si>
  <si>
    <t>Dias da Semana</t>
  </si>
  <si>
    <t>Valor Unitário Máximo Mensal</t>
  </si>
  <si>
    <t>Valor Total Máximo Mensal</t>
  </si>
  <si>
    <t>Valor Global Máximo Anual</t>
  </si>
  <si>
    <t>Diurno - 44h semanais</t>
  </si>
  <si>
    <t xml:space="preserve">          Elton de Jesus Thomaz</t>
  </si>
  <si>
    <t xml:space="preserve">        Membro de Planejamento</t>
  </si>
  <si>
    <t>________________________________</t>
  </si>
  <si>
    <t>SINDECONSERVIÇOS 2019/2019-AM000025/2019</t>
  </si>
  <si>
    <t>Nº</t>
  </si>
  <si>
    <t>Camisa de manga curta, em brim leve ou Oxford</t>
  </si>
  <si>
    <t>Calça, em brim leve ou Oxford</t>
  </si>
  <si>
    <t>Par de meia tipo soquete, em algodão</t>
  </si>
  <si>
    <t>Par de sapato tipo bota de segurança</t>
  </si>
  <si>
    <t>Cinto com fivela, em couro</t>
  </si>
  <si>
    <t xml:space="preserve">UNIFORMES - VALOR ANUAL </t>
  </si>
  <si>
    <t>Apoio Técnico</t>
  </si>
  <si>
    <t>Auxiliar de Almoxarifado - 44 horas semanais</t>
  </si>
  <si>
    <t>Auxiliar de Almoxarifado</t>
  </si>
  <si>
    <t>Par de sapato tipo botina</t>
  </si>
  <si>
    <t>Almoxarife - 44 horas semanais</t>
  </si>
  <si>
    <t>Almoxarife</t>
  </si>
  <si>
    <t>Artífice - 44 horas semanais</t>
  </si>
  <si>
    <t>Óculos de proteção</t>
  </si>
  <si>
    <t>Capacete de segurança tipo classe B com suspensão</t>
  </si>
  <si>
    <t>Par de luva de raspa, pigmentada</t>
  </si>
  <si>
    <t>Protetor auditivo</t>
  </si>
  <si>
    <t xml:space="preserve">Artífice </t>
  </si>
  <si>
    <t>Calça em com elástico e cordão, em tecido Brim</t>
  </si>
  <si>
    <t>Par de calçado de segurança tipo botina</t>
  </si>
  <si>
    <t xml:space="preserve">Condutor Veículo Categoria "B" </t>
  </si>
  <si>
    <t>SINDECONSERVIÇOS 2018/2019-AM000326/2018</t>
  </si>
  <si>
    <t>Condutor Veículo Categoria "B"  - 44 horas semanais</t>
  </si>
  <si>
    <t>Outros: Diária</t>
  </si>
  <si>
    <t>Camisa tipo 'polo', branca, em Piquet, contendo bolso</t>
  </si>
  <si>
    <t>Calça de malha ou jeans</t>
  </si>
  <si>
    <t>Par de sapato fechado antiderrapante em couro</t>
  </si>
  <si>
    <t xml:space="preserve">Condutor Veículo Categoria "D" </t>
  </si>
  <si>
    <t>Condutor Veículo Categoria "D"  - 44 horas semanais</t>
  </si>
  <si>
    <t>Agente de Portaria</t>
  </si>
  <si>
    <t>Agente de Portaria - 44 horas semanais</t>
  </si>
  <si>
    <t>Boné confeccionado em tecido de brim</t>
  </si>
  <si>
    <t>Capa de chuva</t>
  </si>
  <si>
    <t>Agente de Portaria - 12x36 horas diurno - segunda a domingo</t>
  </si>
  <si>
    <t xml:space="preserve">Valor Total por Posto </t>
  </si>
  <si>
    <t>Copeira - 44 horas semanais</t>
  </si>
  <si>
    <t>Copeira</t>
  </si>
  <si>
    <t>Blusa sem gola, com dois bolsos em tecido Oxford</t>
  </si>
  <si>
    <t>Saia ou calça, em tecido Oxford;</t>
  </si>
  <si>
    <t>Touca em tecido de rede (filó);</t>
  </si>
  <si>
    <t>Avental impermeável</t>
  </si>
  <si>
    <t>Par de sapato tipo “boneca” em couro maleável e de boa qualidade, na cor preta - não sintético</t>
  </si>
  <si>
    <t>Par de meia em algodão na cor branca</t>
  </si>
  <si>
    <t>Operador de Som</t>
  </si>
  <si>
    <t>Operador de Som - 44 horas semanais</t>
  </si>
  <si>
    <t>SINDECONSERVIÇOS 2019/2020-AM000083/2019</t>
  </si>
  <si>
    <t>Lavador de Veículos - 44 horas semanais</t>
  </si>
  <si>
    <t>Lavador de Veículos</t>
  </si>
  <si>
    <t>Par de bota de borracha</t>
  </si>
  <si>
    <t>Avental de material tipo borracha</t>
  </si>
  <si>
    <t>Carregador/Ajudante de Carga e Descarga</t>
  </si>
  <si>
    <t>Carregador/Ajudante de Carga e Descarga - 44 horas semanais</t>
  </si>
  <si>
    <t>Par de luva de proteção com palma antiderrapante</t>
  </si>
  <si>
    <t>Cinta ergonômica lombar com suspensório - EPI</t>
  </si>
  <si>
    <t>Jardineiro/Roçador/Podador</t>
  </si>
  <si>
    <t>Jardineiro/Roçador/Podador - 44 horas semanais</t>
  </si>
  <si>
    <t>Calça cós meio elástico, em Brim</t>
  </si>
  <si>
    <t>Camisa gola italiana, em tecido brim leve com bolso frontal</t>
  </si>
  <si>
    <t>Par de calçado tipo bota PVC, cano longo</t>
  </si>
  <si>
    <t>Perneira de couro com tala de proteção</t>
  </si>
  <si>
    <t>Par de luva de raspa</t>
  </si>
  <si>
    <t>Par de Luva pigmentada</t>
  </si>
  <si>
    <t>Boné com protetor facial e protetor de nuca</t>
  </si>
  <si>
    <t>Avental de Segurança confeccionado em couro de raspa</t>
  </si>
  <si>
    <t>Protetor auricular de silicone tipo plug</t>
  </si>
  <si>
    <t>Protetor auditivo tipo concha</t>
  </si>
  <si>
    <t>Agente de Portaria - 12x36 horas diurno - segunda a sexta</t>
  </si>
  <si>
    <t>Caixa de ferramentas em aço marca MARCOM modelo 570 ou de qualidade superior, possibilita o uso com cadeado</t>
  </si>
  <si>
    <t>Martelo pena 200g</t>
  </si>
  <si>
    <t>Marreta oitava 1kg</t>
  </si>
  <si>
    <t>Alicate universal 8''</t>
  </si>
  <si>
    <t>Alicate corte diagonal 6''</t>
  </si>
  <si>
    <t>Alicate para bico meia cana 6''''</t>
  </si>
  <si>
    <t>Alicate de pressão 10''</t>
  </si>
  <si>
    <t>Alicate desencapador automático 8''</t>
  </si>
  <si>
    <t>Alicate descascador 9''</t>
  </si>
  <si>
    <t>Chave ajustável 8''</t>
  </si>
  <si>
    <t>Talhadeira 12''</t>
  </si>
  <si>
    <t>Ponteiro 12''</t>
  </si>
  <si>
    <t>Chaves fixas: 6x7, 8x9, 10x11, 12x13, 14x15, 16x17, 18x19 e 20x22</t>
  </si>
  <si>
    <t>Chaves de fenda isolada ponta chata: 3x75, 5x100, 6x150 e 8x150mm</t>
  </si>
  <si>
    <t>Chaves de fenda isolada ponta cruzada: 3x150, 5x150, 6x150 e 8x150mm</t>
  </si>
  <si>
    <t>Chave teste 1/8x3''</t>
  </si>
  <si>
    <t>Estilete emborrachado 6''</t>
  </si>
  <si>
    <t>Fita isolante</t>
  </si>
  <si>
    <t>Trena 5m</t>
  </si>
  <si>
    <t>Nível de alumínio 300mm</t>
  </si>
  <si>
    <t>Arco de serra fixo 12''</t>
  </si>
  <si>
    <t>Jogo de lâminas para arco de serra</t>
  </si>
  <si>
    <t>Chaves hexagonais: 1.5, 2, 2.5, 3, 4, 5, 6, 8 e 10mm</t>
  </si>
  <si>
    <t>Colher de pedreiro Marca Tramontina de 8” ou de qualidade superior</t>
  </si>
  <si>
    <t>Espátula de aço da Marca Tramontina ou de qualidade superior</t>
  </si>
  <si>
    <t>Carrinho de Mão com Caçamba e Braço Metálicos Reforçados da marca Tramontina ou de qualidade Superior</t>
  </si>
  <si>
    <t>Pá de aço quadrada com cabo de madeira 71cm da Marca Tramontina ou de qualidade superior</t>
  </si>
  <si>
    <t>Enxada larga com cabo da Marca Tramontina ou de qualidade superior</t>
  </si>
  <si>
    <t>Plaina Manual</t>
  </si>
  <si>
    <t>Lima triangular 7”</t>
  </si>
  <si>
    <t>Serrote médio</t>
  </si>
  <si>
    <t>Formão para madeira ½”</t>
  </si>
  <si>
    <t>Formão para madeira 1”</t>
  </si>
  <si>
    <t>Chaves americanas 8</t>
  </si>
  <si>
    <t>Chaves americana 10</t>
  </si>
  <si>
    <t>Chaves americana 12</t>
  </si>
  <si>
    <t>Tarracha ½”, ¾” e 1”</t>
  </si>
  <si>
    <t>Furadeira elétrica bivolt 3/8” impacto + martelete</t>
  </si>
  <si>
    <t>Jogos de broca para concreto: S6, S8, S10</t>
  </si>
  <si>
    <t>Jogos de broca para metal: 3,5mm e 4mm</t>
  </si>
  <si>
    <t>Rebitadeira tipo alicate 4 bicos</t>
  </si>
  <si>
    <t>Rebite 3mm x 12mm com 100 unidades</t>
  </si>
  <si>
    <t>Parafusadeira a bateria 12v ou 20v com duas baterias</t>
  </si>
  <si>
    <t>Serra elétrica tico-tico 500w</t>
  </si>
  <si>
    <t>Cortador de cerâmica 75cm</t>
  </si>
  <si>
    <t>Escada de abrir de alumínio 7 degraus</t>
  </si>
  <si>
    <t>Escada extensiva de alumínio 6 metros</t>
  </si>
  <si>
    <t>Unidade</t>
  </si>
  <si>
    <t xml:space="preserve">Valor Total Mensal </t>
  </si>
  <si>
    <t>Valor Total Mensal por empregado (Valor Total Mensal/ Quantidade Artifices)</t>
  </si>
  <si>
    <t>Pesquisa Materiais Estimados CARGO ARTIFICE - Fundação Universidade do Amazonas</t>
  </si>
  <si>
    <t>VIDA ÚTIL MENSAL</t>
  </si>
  <si>
    <t>Pesquisa Materiais Estimados CARGO AGENTE DE PORTARIA - Fundação Universidade do Amazonas</t>
  </si>
  <si>
    <t>Livros de ocorrências 50 fls</t>
  </si>
  <si>
    <t>Motosserra marca STILL MODELO MS 382 ou de qualidade Superior, com licença de porte e uso fornecido pelo IBAMA</t>
  </si>
  <si>
    <t>Motosserra marca STILL MODELO MS 660 ou de qualidade Superior, com licença de porte e uso fornecido pelo IBAMA</t>
  </si>
  <si>
    <t>Veículo utilitário para transporte de materiais e passageiros tipo “mini van” (veículo novo de primeiro uso) mínimo 04 portas; capacidade para 05 passageiros e carga mínima 500 litros.</t>
  </si>
  <si>
    <t>Motopoda marca STILL MODELO HT 133 ou de qualidade Superior, com licença de porte e uso fornecido pelo IBAMA</t>
  </si>
  <si>
    <t>Roçadeiras marca STIHL MODELO FS 220 ou de qualidade Superior;</t>
  </si>
  <si>
    <t>Rolo de fio quadrado de nylon com 312m</t>
  </si>
  <si>
    <t>Lâminas para roçadeira tipo 2P</t>
  </si>
  <si>
    <t>Conjunto de corte trimcut para roçadeira</t>
  </si>
  <si>
    <t>Limas para Motosserra marca STILL ou de qualidade superior</t>
  </si>
  <si>
    <t>Terçado da marca Tramontina 17” ou de qualidade superior;</t>
  </si>
  <si>
    <t>Serrote para poda com cabo metálico extensível Tramontina ou de qualidade superior;</t>
  </si>
  <si>
    <t>Gasolina, aplicação em roçadeiras, motosserra e motopoda</t>
  </si>
  <si>
    <t>Óleo lubrificante 2 tempos, 500ml, aplicação em máquinas de cortar e/ou roçar grama</t>
  </si>
  <si>
    <t>Rastelo em aço com 14 dentes, com cabo de 1,20m, de boa qualidade</t>
  </si>
  <si>
    <t>Escada extensiva de 12 metros, em fibra de vidro, degraus em liga de alumínio tratada termicamente com frisos antiderrapantes, catraca de nylon revestida em borracha vulcanizada, acionamento do lance móvel manual por sistemas de roldana(s) e corda.</t>
  </si>
  <si>
    <t>Protetor de roçagem retrátil. Medidas 1,5m altura x 3m de largura. Módulo retrátil que após a utilização ocupa pouco espaço de armazenamento. Com tela de qualidade que retêm os detritos, aço de alta resistência, com 4 rodas pneumáticas. Estruturas tubulares construídas em aço galvanizado.</t>
  </si>
  <si>
    <t>Corda semi-estática para escalada em árvores com 50 metros</t>
  </si>
  <si>
    <t>Cadeirinhas de segurança para trabalho em altura</t>
  </si>
  <si>
    <t>litros</t>
  </si>
  <si>
    <t>Pesquisa Materiais Estimados CARGO ROÇADOR/PODADOR - Fundação Universidade do Amazonas</t>
  </si>
  <si>
    <t>Valor Total Mensal por empregado (Valor Total Mensal/ Quantidade Agentes de Portaria)</t>
  </si>
  <si>
    <t>Valor Total Mensal por empregado (Valor Total Mensal/ Quantidade Roçadores)</t>
  </si>
  <si>
    <t>Valor Total Mensal por empregado (Valor Total Mensal/ Quantidade Carregadores)</t>
  </si>
  <si>
    <t>Pesquisa Materiais Estimados CARGO AJUDANTE/CARREGADOR - Fundação Universidade do Amazonas</t>
  </si>
  <si>
    <t>Carro de Carga com 2 rodas com Capacidade 200Kg</t>
  </si>
  <si>
    <t>Pesquisa Materiais Estimados USO COLETIVO - Fundação Universidade do Amazonas</t>
  </si>
  <si>
    <t>Relógio de ponto eletrônico com leitura biométrica com bateria interna, incluso software para controle de ponto, treinamento, instalação, configuração do equipamento e bobina de papel. Homologado pelo Ministério do Trabalho, segundo norma 1510/2009, marca Henry ou similar</t>
  </si>
  <si>
    <t>Valor Total Mensal por empregado (Valor Total Mensal/ Quantidade Total de Empregados)</t>
  </si>
  <si>
    <t>Lanterna plástica recarregável</t>
  </si>
  <si>
    <t>GRUPO A</t>
  </si>
  <si>
    <t>Auxiliar de almoxarifado</t>
  </si>
  <si>
    <t>Artífice</t>
  </si>
  <si>
    <t>Condutor de Veículo Categoria B</t>
  </si>
  <si>
    <t>Condutor de Veículo Categoria D</t>
  </si>
  <si>
    <t>Agente de Portaria: 44h Diurno</t>
  </si>
  <si>
    <t>Agente de Portaria: 12x36h Diurno</t>
  </si>
  <si>
    <t>Copeiro</t>
  </si>
  <si>
    <t>Lavador de veículos</t>
  </si>
  <si>
    <t>Carregador/Ajudante de Carga e descarga</t>
  </si>
  <si>
    <t>Diurno – 12x36h</t>
  </si>
  <si>
    <t>CBO</t>
  </si>
  <si>
    <t>5134-25</t>
  </si>
  <si>
    <t>5199-35</t>
  </si>
  <si>
    <t>6220-10</t>
  </si>
  <si>
    <t>4101-05</t>
  </si>
  <si>
    <t>Segunda à Sexta</t>
  </si>
  <si>
    <t>Segunda à Domingo</t>
  </si>
  <si>
    <t xml:space="preserve">Quantidade Postos </t>
  </si>
  <si>
    <t>01 (02 empregados)</t>
  </si>
  <si>
    <t>01 (02 empregados</t>
  </si>
  <si>
    <t>Total De Postos</t>
  </si>
  <si>
    <t>Manaus, 22 de abril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</si>
</sst>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R$&quot;\ #,##0.00;[Red]\-&quot;R$&quot;\ #,##0.00"/>
    <numFmt numFmtId="165" formatCode="_-&quot;R$&quot;\ * #,##0.00_-;\-&quot;R$&quot;\ * #,##0.00_-;_-&quot;R$&quot;\ * &quot;-&quot;??_-;_-@_-"/>
    <numFmt numFmtId="166" formatCode="_(* #,##0.00_);_(* \(#,##0.00\);_(* \-??_);_(@_)"/>
    <numFmt numFmtId="167" formatCode="dd/mm/yy"/>
    <numFmt numFmtId="168" formatCode="[$R$-416]\ #,##0.00;[Red]\-[$R$-416]\ #,##0.00"/>
    <numFmt numFmtId="169" formatCode="&quot;R$&quot;\ #,##0.00"/>
    <numFmt numFmtId="170" formatCode="&quot;R$&quot;#,##0.00"/>
  </numFmts>
  <fonts count="39"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64"/>
      <name val="Calibri"/>
      <family val="2"/>
      <scheme val="minor"/>
    </font>
    <font>
      <sz val="12"/>
      <color rgb="FFFF0000"/>
      <name val="Times New Roman"/>
      <family val="1"/>
    </font>
    <font>
      <sz val="12"/>
      <name val="Times New Roman"/>
      <family val="1"/>
    </font>
    <font>
      <sz val="18"/>
      <color theme="0"/>
      <name val="Times New Roman"/>
      <family val="1"/>
    </font>
    <font>
      <b/>
      <sz val="11"/>
      <name val="Arial"/>
      <family val="2"/>
    </font>
    <font>
      <b/>
      <sz val="12"/>
      <name val="Arial"/>
      <family val="2"/>
    </font>
    <font>
      <sz val="11"/>
      <name val="Calibri"/>
      <family val="2"/>
      <scheme val="minor"/>
    </font>
    <font>
      <b/>
      <sz val="10"/>
      <name val="Arial"/>
      <family val="2"/>
    </font>
    <font>
      <sz val="10"/>
      <color theme="1"/>
      <name val="Arial"/>
      <family val="2"/>
    </font>
    <font>
      <sz val="10"/>
      <color theme="1"/>
      <name val="Times New Roman"/>
      <family val="1"/>
    </font>
    <font>
      <sz val="10"/>
      <color theme="1"/>
      <name val="Calibri"/>
      <family val="2"/>
      <scheme val="minor"/>
    </font>
    <font>
      <sz val="12"/>
      <color theme="1"/>
      <name val="Calibri"/>
      <family val="2"/>
      <scheme val="minor"/>
    </font>
    <font>
      <sz val="11"/>
      <color rgb="FF000000"/>
      <name val="Times New Roman"/>
      <family val="1"/>
    </font>
    <font>
      <b/>
      <sz val="12"/>
      <color rgb="FF000000"/>
      <name val="Times New Roman"/>
      <family val="1"/>
    </font>
    <font>
      <b/>
      <sz val="10"/>
      <color theme="1"/>
      <name val="Calibri"/>
      <family val="2"/>
    </font>
    <font>
      <sz val="10"/>
      <color theme="1"/>
      <name val="Calibri"/>
      <family val="2"/>
    </font>
    <font>
      <sz val="10"/>
      <color rgb="FF000000"/>
      <name val="Arial"/>
      <family val="2"/>
    </font>
  </fonts>
  <fills count="43">
    <fill>
      <patternFill patternType="none"/>
    </fill>
    <fill>
      <patternFill patternType="gray125"/>
    </fill>
    <fill>
      <patternFill patternType="solid">
        <fgColor theme="4" tint="0.39997558519241921"/>
        <bgColor indexed="64"/>
      </patternFill>
    </fill>
    <fill>
      <patternFill patternType="solid">
        <fgColor theme="4" tint="0.39997558519241921"/>
        <bgColor indexed="4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9" fontId="1" fillId="0" borderId="0" applyFont="0" applyFill="0" applyBorder="0" applyAlignment="0" applyProtection="0"/>
    <xf numFmtId="166" fontId="5"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7" fillId="0" borderId="16" applyNumberFormat="0" applyFill="0" applyAlignment="0" applyProtection="0"/>
    <xf numFmtId="0" fontId="8" fillId="0" borderId="17" applyNumberFormat="0" applyFill="0" applyAlignment="0" applyProtection="0"/>
    <xf numFmtId="0" fontId="9" fillId="0" borderId="18"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19" applyNumberFormat="0" applyAlignment="0" applyProtection="0"/>
    <xf numFmtId="0" fontId="14" fillId="8" borderId="20" applyNumberFormat="0" applyAlignment="0" applyProtection="0"/>
    <xf numFmtId="0" fontId="15" fillId="8" borderId="19" applyNumberFormat="0" applyAlignment="0" applyProtection="0"/>
    <xf numFmtId="0" fontId="16" fillId="0" borderId="21" applyNumberFormat="0" applyFill="0" applyAlignment="0" applyProtection="0"/>
    <xf numFmtId="0" fontId="17" fillId="9" borderId="22" applyNumberFormat="0" applyAlignment="0" applyProtection="0"/>
    <xf numFmtId="0" fontId="18" fillId="0" borderId="0" applyNumberFormat="0" applyFill="0" applyBorder="0" applyAlignment="0" applyProtection="0"/>
    <xf numFmtId="0" fontId="1" fillId="10" borderId="23" applyNumberFormat="0" applyFont="0" applyAlignment="0" applyProtection="0"/>
    <xf numFmtId="0" fontId="19" fillId="0" borderId="0" applyNumberFormat="0" applyFill="0" applyBorder="0" applyAlignment="0" applyProtection="0"/>
    <xf numFmtId="0" fontId="20" fillId="0" borderId="24"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34" borderId="0" applyNumberFormat="0" applyBorder="0" applyAlignment="0" applyProtection="0"/>
    <xf numFmtId="43" fontId="1" fillId="0" borderId="0" applyFont="0" applyFill="0" applyBorder="0" applyAlignment="0" applyProtection="0"/>
    <xf numFmtId="0" fontId="2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0">
    <xf numFmtId="0" fontId="0" fillId="0" borderId="0" xfId="0"/>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4" fontId="24" fillId="0" borderId="2" xfId="0" applyNumberFormat="1" applyFont="1" applyBorder="1" applyAlignment="1">
      <alignment horizontal="center" vertical="center"/>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5" xfId="0" applyFont="1" applyBorder="1" applyAlignment="1">
      <alignment vertical="center" wrapText="1"/>
    </xf>
    <xf numFmtId="0" fontId="3" fillId="0" borderId="25" xfId="0" applyFont="1" applyBorder="1" applyAlignment="1">
      <alignment horizontal="center" vertical="center" wrapText="1"/>
    </xf>
    <xf numFmtId="10" fontId="3" fillId="0" borderId="25" xfId="0" applyNumberFormat="1" applyFont="1" applyBorder="1" applyAlignment="1">
      <alignment horizontal="center" vertical="center" wrapText="1"/>
    </xf>
    <xf numFmtId="0" fontId="3" fillId="0" borderId="25" xfId="0" applyFont="1" applyBorder="1" applyAlignment="1">
      <alignment horizontal="justify" vertical="center" wrapText="1"/>
    </xf>
    <xf numFmtId="0" fontId="2" fillId="0" borderId="11" xfId="0" applyFont="1" applyBorder="1" applyAlignment="1">
      <alignment vertical="center" wrapText="1"/>
    </xf>
    <xf numFmtId="0" fontId="3" fillId="0" borderId="0" xfId="0" applyFont="1"/>
    <xf numFmtId="0" fontId="2" fillId="0" borderId="14" xfId="0" applyFont="1" applyBorder="1" applyAlignment="1">
      <alignment horizontal="center" vertical="center" wrapText="1"/>
    </xf>
    <xf numFmtId="0" fontId="23" fillId="0" borderId="0" xfId="0" applyFont="1" applyAlignment="1">
      <alignment horizontal="center"/>
    </xf>
    <xf numFmtId="0" fontId="0" fillId="0" borderId="1" xfId="0" applyBorder="1"/>
    <xf numFmtId="0" fontId="0" fillId="0" borderId="1" xfId="0" applyBorder="1" applyAlignment="1">
      <alignment vertical="center"/>
    </xf>
    <xf numFmtId="167" fontId="0" fillId="0" borderId="1" xfId="0" applyNumberFormat="1" applyBorder="1" applyAlignment="1">
      <alignment vertical="center"/>
    </xf>
    <xf numFmtId="0" fontId="0" fillId="0" borderId="0" xfId="0" applyAlignment="1">
      <alignment vertical="center"/>
    </xf>
    <xf numFmtId="0" fontId="0" fillId="35" borderId="1" xfId="0" applyFill="1" applyBorder="1" applyAlignment="1">
      <alignment horizontal="center" vertical="center"/>
    </xf>
    <xf numFmtId="0" fontId="0" fillId="35" borderId="1" xfId="0" applyFill="1" applyBorder="1" applyAlignment="1">
      <alignment wrapText="1"/>
    </xf>
    <xf numFmtId="0" fontId="0" fillId="35" borderId="0" xfId="0" applyFill="1"/>
    <xf numFmtId="0" fontId="27" fillId="35" borderId="0" xfId="0" applyFont="1" applyFill="1" applyAlignment="1">
      <alignment horizontal="center" vertical="center"/>
    </xf>
    <xf numFmtId="0" fontId="0" fillId="35" borderId="1" xfId="0" applyFill="1" applyBorder="1" applyAlignment="1">
      <alignment horizontal="center" vertical="center" wrapText="1"/>
    </xf>
    <xf numFmtId="3" fontId="28" fillId="35" borderId="1" xfId="0" applyNumberFormat="1" applyFont="1" applyFill="1" applyBorder="1" applyAlignment="1">
      <alignment horizontal="center" vertical="center" wrapText="1"/>
    </xf>
    <xf numFmtId="0" fontId="0" fillId="35" borderId="1" xfId="0" applyFill="1" applyBorder="1" applyAlignment="1">
      <alignment horizontal="left" vertical="center" wrapText="1"/>
    </xf>
    <xf numFmtId="0" fontId="0" fillId="35" borderId="1" xfId="0" applyFill="1" applyBorder="1" applyAlignment="1">
      <alignment horizontal="left" wrapText="1"/>
    </xf>
    <xf numFmtId="169" fontId="3" fillId="0" borderId="25" xfId="0" applyNumberFormat="1" applyFont="1" applyBorder="1" applyAlignment="1">
      <alignment horizontal="center" vertical="center" wrapText="1"/>
    </xf>
    <xf numFmtId="169" fontId="3" fillId="0" borderId="0" xfId="0" applyNumberFormat="1" applyFont="1"/>
    <xf numFmtId="166" fontId="4" fillId="3" borderId="7" xfId="2" applyFont="1" applyFill="1" applyBorder="1" applyAlignment="1">
      <alignment horizontal="center" vertical="center"/>
    </xf>
    <xf numFmtId="166" fontId="4" fillId="3" borderId="8" xfId="0" applyNumberFormat="1" applyFont="1" applyFill="1" applyBorder="1" applyAlignment="1">
      <alignment horizontal="center" vertical="center"/>
    </xf>
    <xf numFmtId="0" fontId="30" fillId="0" borderId="11" xfId="0" applyFont="1" applyBorder="1" applyAlignment="1">
      <alignment horizontal="center" vertical="center"/>
    </xf>
    <xf numFmtId="0" fontId="30" fillId="0" borderId="25" xfId="0" applyFont="1" applyBorder="1" applyAlignment="1">
      <alignment horizontal="center" vertical="center"/>
    </xf>
    <xf numFmtId="0" fontId="3" fillId="0" borderId="14" xfId="0" applyFont="1" applyBorder="1" applyAlignment="1">
      <alignment horizontal="justify" wrapText="1"/>
    </xf>
    <xf numFmtId="4" fontId="4" fillId="3" borderId="3" xfId="0" applyNumberFormat="1" applyFont="1" applyFill="1" applyBorder="1" applyAlignment="1">
      <alignment horizontal="center" vertical="center"/>
    </xf>
    <xf numFmtId="10" fontId="3" fillId="0" borderId="25" xfId="1" applyNumberFormat="1" applyFont="1" applyBorder="1" applyAlignment="1">
      <alignment horizontal="center" vertical="center" wrapText="1"/>
    </xf>
    <xf numFmtId="169" fontId="3" fillId="0" borderId="25" xfId="0" applyNumberFormat="1" applyFont="1" applyBorder="1" applyAlignment="1">
      <alignment vertical="center" wrapText="1"/>
    </xf>
    <xf numFmtId="169" fontId="23" fillId="0" borderId="25" xfId="0" applyNumberFormat="1" applyFont="1" applyBorder="1" applyAlignment="1">
      <alignment horizontal="center" vertical="center" wrapText="1"/>
    </xf>
    <xf numFmtId="0" fontId="23" fillId="0" borderId="25" xfId="0" applyFont="1" applyBorder="1" applyAlignment="1">
      <alignment horizontal="center" vertical="center" wrapText="1"/>
    </xf>
    <xf numFmtId="10" fontId="2" fillId="0" borderId="25" xfId="1" applyNumberFormat="1" applyFont="1" applyBorder="1" applyAlignment="1">
      <alignment horizontal="center" vertical="center" wrapText="1"/>
    </xf>
    <xf numFmtId="0" fontId="2" fillId="39" borderId="9" xfId="0" applyFont="1" applyFill="1" applyBorder="1" applyAlignment="1">
      <alignment horizontal="center"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horizontal="justify" vertical="center" wrapText="1"/>
    </xf>
    <xf numFmtId="165" fontId="30" fillId="0" borderId="1" xfId="52" applyFont="1" applyBorder="1" applyAlignment="1">
      <alignment horizontal="center" vertical="center" wrapText="1"/>
    </xf>
    <xf numFmtId="0" fontId="31" fillId="0" borderId="0" xfId="0" applyFont="1" applyAlignment="1">
      <alignment horizontal="left" vertical="center"/>
    </xf>
    <xf numFmtId="0" fontId="32" fillId="0" borderId="0" xfId="0" applyFont="1"/>
    <xf numFmtId="0" fontId="33" fillId="0" borderId="0" xfId="0" applyFont="1"/>
    <xf numFmtId="0" fontId="3" fillId="0" borderId="0" xfId="0" applyFont="1" applyAlignment="1">
      <alignment horizontal="left" vertical="center"/>
    </xf>
    <xf numFmtId="0" fontId="34" fillId="35" borderId="1" xfId="0" applyFont="1" applyFill="1" applyBorder="1" applyAlignment="1">
      <alignment horizontal="center" wrapText="1"/>
    </xf>
    <xf numFmtId="164" fontId="3" fillId="35" borderId="1" xfId="0" applyNumberFormat="1" applyFont="1" applyFill="1" applyBorder="1" applyAlignment="1">
      <alignment horizontal="right" vertical="center" wrapText="1"/>
    </xf>
    <xf numFmtId="164" fontId="35" fillId="41" borderId="4" xfId="0" applyNumberFormat="1" applyFont="1" applyFill="1" applyBorder="1" applyAlignment="1">
      <alignment horizontal="right" vertical="center" wrapText="1"/>
    </xf>
    <xf numFmtId="164" fontId="35" fillId="41" borderId="1" xfId="0" applyNumberFormat="1" applyFont="1" applyFill="1" applyBorder="1" applyAlignment="1">
      <alignment horizontal="right" vertical="center" wrapText="1"/>
    </xf>
    <xf numFmtId="0" fontId="36" fillId="42" borderId="1" xfId="0" applyFont="1" applyFill="1" applyBorder="1" applyAlignment="1">
      <alignment horizontal="center" vertical="center" wrapText="1"/>
    </xf>
    <xf numFmtId="169" fontId="37" fillId="0" borderId="1" xfId="0" applyNumberFormat="1" applyFont="1" applyBorder="1" applyAlignment="1">
      <alignment vertical="center" wrapText="1"/>
    </xf>
    <xf numFmtId="169" fontId="36" fillId="42" borderId="1" xfId="0" applyNumberFormat="1" applyFont="1" applyFill="1" applyBorder="1" applyAlignment="1">
      <alignment vertical="center" wrapText="1"/>
    </xf>
    <xf numFmtId="0" fontId="2" fillId="35" borderId="0" xfId="0" applyFont="1" applyFill="1" applyAlignment="1">
      <alignment horizontal="center" vertical="center"/>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169" fontId="24" fillId="0" borderId="25" xfId="0" applyNumberFormat="1" applyFont="1" applyBorder="1" applyAlignment="1">
      <alignment horizontal="center" vertical="center" wrapText="1"/>
    </xf>
    <xf numFmtId="165" fontId="30" fillId="0" borderId="27" xfId="52" applyFont="1" applyBorder="1" applyAlignment="1">
      <alignment horizontal="center" vertical="center" wrapText="1"/>
    </xf>
    <xf numFmtId="0" fontId="3" fillId="0" borderId="11" xfId="0" applyFont="1" applyBorder="1" applyAlignment="1">
      <alignment horizontal="center" vertical="center"/>
    </xf>
    <xf numFmtId="2" fontId="3" fillId="0" borderId="11" xfId="0" applyNumberFormat="1" applyFont="1" applyBorder="1" applyAlignment="1">
      <alignment horizontal="center" vertical="center"/>
    </xf>
    <xf numFmtId="0" fontId="3" fillId="0" borderId="25" xfId="0" applyFont="1" applyBorder="1" applyAlignment="1">
      <alignment horizontal="center" vertical="center"/>
    </xf>
    <xf numFmtId="2" fontId="3" fillId="0" borderId="25" xfId="0" applyNumberFormat="1" applyFont="1" applyBorder="1" applyAlignment="1">
      <alignment horizontal="center" vertical="center"/>
    </xf>
    <xf numFmtId="0" fontId="36" fillId="42"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4" fillId="35" borderId="27" xfId="0" applyFont="1" applyFill="1" applyBorder="1" applyAlignment="1">
      <alignment horizontal="center" vertical="top" wrapText="1"/>
    </xf>
    <xf numFmtId="3" fontId="38" fillId="0" borderId="1" xfId="0" applyNumberFormat="1" applyFont="1" applyBorder="1" applyAlignment="1">
      <alignment horizontal="center" vertical="center" wrapText="1"/>
    </xf>
    <xf numFmtId="0" fontId="0" fillId="0" borderId="1" xfId="0" applyFill="1" applyBorder="1"/>
    <xf numFmtId="0" fontId="24" fillId="35" borderId="27" xfId="0" applyFont="1" applyFill="1" applyBorder="1" applyAlignment="1">
      <alignment horizontal="center" vertical="center" wrapText="1"/>
    </xf>
    <xf numFmtId="165" fontId="3" fillId="35" borderId="1" xfId="0" applyNumberFormat="1" applyFont="1" applyFill="1" applyBorder="1" applyAlignment="1">
      <alignment horizontal="right" vertical="center" wrapText="1"/>
    </xf>
    <xf numFmtId="165" fontId="35" fillId="41" borderId="4" xfId="0" applyNumberFormat="1" applyFont="1" applyFill="1" applyBorder="1" applyAlignment="1">
      <alignment horizontal="right" vertical="center" wrapText="1"/>
    </xf>
    <xf numFmtId="0" fontId="30" fillId="0" borderId="1" xfId="0" applyFont="1" applyBorder="1" applyAlignment="1">
      <alignment wrapText="1"/>
    </xf>
    <xf numFmtId="0" fontId="37" fillId="0" borderId="15" xfId="0" applyFont="1" applyBorder="1" applyAlignment="1">
      <alignment horizontal="center" vertical="center" wrapText="1"/>
    </xf>
    <xf numFmtId="0" fontId="37" fillId="0" borderId="15" xfId="0" applyFont="1" applyBorder="1" applyAlignment="1">
      <alignment horizontal="justify" vertical="center" wrapText="1"/>
    </xf>
    <xf numFmtId="169" fontId="36" fillId="42" borderId="27"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36" borderId="0" xfId="0" applyFont="1" applyFill="1" applyAlignment="1">
      <alignment horizontal="center" vertical="center"/>
    </xf>
    <xf numFmtId="0" fontId="4" fillId="3" borderId="0" xfId="0" applyFont="1" applyFill="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2" fillId="36" borderId="0" xfId="0" applyFont="1" applyFill="1" applyAlignment="1">
      <alignment horizontal="center" vertical="center" wrapText="1"/>
    </xf>
    <xf numFmtId="0" fontId="0" fillId="35" borderId="1" xfId="0" applyFill="1" applyBorder="1" applyAlignment="1">
      <alignment horizontal="center" vertical="center"/>
    </xf>
    <xf numFmtId="0" fontId="27" fillId="35" borderId="0" xfId="0" applyFont="1" applyFill="1" applyAlignment="1">
      <alignment horizontal="center" vertical="center"/>
    </xf>
    <xf numFmtId="14" fontId="0" fillId="35" borderId="1" xfId="0" applyNumberFormat="1" applyFill="1" applyBorder="1" applyAlignment="1">
      <alignment horizontal="center" vertical="center" wrapText="1"/>
    </xf>
    <xf numFmtId="0" fontId="29" fillId="35" borderId="1" xfId="0" applyFont="1" applyFill="1" applyBorder="1" applyAlignment="1">
      <alignment horizontal="left" vertical="center"/>
    </xf>
    <xf numFmtId="168" fontId="0" fillId="35" borderId="1" xfId="0" applyNumberFormat="1" applyFill="1" applyBorder="1" applyAlignment="1">
      <alignment horizontal="center" vertical="center" wrapText="1"/>
    </xf>
    <xf numFmtId="0" fontId="2" fillId="38" borderId="1" xfId="0" applyFont="1" applyFill="1" applyBorder="1" applyAlignment="1">
      <alignment horizontal="center" vertical="center" wrapText="1"/>
    </xf>
    <xf numFmtId="14" fontId="0" fillId="35" borderId="1" xfId="0" applyNumberFormat="1" applyFill="1" applyBorder="1" applyAlignment="1">
      <alignment horizontal="center" vertical="center"/>
    </xf>
    <xf numFmtId="0" fontId="25" fillId="37" borderId="0" xfId="0" applyFont="1" applyFill="1" applyAlignment="1">
      <alignment horizontal="center"/>
    </xf>
    <xf numFmtId="0" fontId="23" fillId="0" borderId="0" xfId="0" applyFont="1" applyAlignment="1">
      <alignment horizontal="center"/>
    </xf>
    <xf numFmtId="0" fontId="26" fillId="35" borderId="0" xfId="0" applyFont="1" applyFill="1" applyAlignment="1">
      <alignment horizontal="center" vertical="center" wrapText="1"/>
    </xf>
    <xf numFmtId="0" fontId="2" fillId="39" borderId="1" xfId="0" applyFont="1" applyFill="1" applyBorder="1" applyAlignment="1">
      <alignment horizontal="center" vertical="center" wrapText="1"/>
    </xf>
    <xf numFmtId="0" fontId="2" fillId="39" borderId="9" xfId="0" applyFont="1" applyFill="1" applyBorder="1" applyAlignment="1">
      <alignment horizontal="center" vertical="center" wrapText="1"/>
    </xf>
    <xf numFmtId="0" fontId="2" fillId="40" borderId="12" xfId="0" applyFont="1" applyFill="1" applyBorder="1" applyAlignment="1">
      <alignment horizontal="center" vertical="center" wrapText="1"/>
    </xf>
    <xf numFmtId="0" fontId="2" fillId="40" borderId="0" xfId="0" applyFont="1" applyFill="1" applyBorder="1" applyAlignment="1">
      <alignment horizontal="center" vertical="center" wrapText="1"/>
    </xf>
    <xf numFmtId="0" fontId="2" fillId="40" borderId="32" xfId="0" applyFont="1" applyFill="1" applyBorder="1" applyAlignment="1">
      <alignment horizontal="center" vertical="center" wrapText="1"/>
    </xf>
    <xf numFmtId="0" fontId="2" fillId="40" borderId="28" xfId="0" applyFont="1" applyFill="1" applyBorder="1" applyAlignment="1">
      <alignment horizontal="center" vertical="center" wrapText="1"/>
    </xf>
    <xf numFmtId="0" fontId="2" fillId="40" borderId="1" xfId="0" applyFont="1" applyFill="1" applyBorder="1" applyAlignment="1">
      <alignment horizontal="center" vertical="center" wrapText="1"/>
    </xf>
    <xf numFmtId="0" fontId="2" fillId="40" borderId="4" xfId="0" applyFont="1" applyFill="1" applyBorder="1" applyAlignment="1">
      <alignment horizontal="center" vertical="center" wrapText="1"/>
    </xf>
    <xf numFmtId="0" fontId="0" fillId="35" borderId="1" xfId="0" applyFill="1" applyBorder="1" applyAlignment="1">
      <alignment horizontal="center" vertical="center" wrapText="1"/>
    </xf>
    <xf numFmtId="0" fontId="36" fillId="42" borderId="1" xfId="0" applyFont="1" applyFill="1" applyBorder="1" applyAlignment="1">
      <alignment horizontal="center" vertical="center" wrapText="1"/>
    </xf>
    <xf numFmtId="0" fontId="36" fillId="42" borderId="4" xfId="0" applyFont="1" applyFill="1" applyBorder="1" applyAlignment="1">
      <alignment horizontal="center" vertical="center" wrapText="1"/>
    </xf>
    <xf numFmtId="0" fontId="20" fillId="0" borderId="1" xfId="0" applyFont="1" applyBorder="1" applyAlignment="1">
      <alignment horizontal="center" vertical="center"/>
    </xf>
    <xf numFmtId="0" fontId="36" fillId="42" borderId="9" xfId="0" applyFont="1" applyFill="1" applyBorder="1" applyAlignment="1">
      <alignment horizontal="center" vertical="center" wrapText="1"/>
    </xf>
    <xf numFmtId="0" fontId="36" fillId="42" borderId="26" xfId="0" applyFont="1" applyFill="1" applyBorder="1" applyAlignment="1">
      <alignment horizontal="center" vertical="center" wrapText="1"/>
    </xf>
    <xf numFmtId="0" fontId="36" fillId="42" borderId="35" xfId="0" applyFont="1" applyFill="1" applyBorder="1" applyAlignment="1">
      <alignment horizontal="center" vertical="center" wrapText="1"/>
    </xf>
    <xf numFmtId="0" fontId="36" fillId="42" borderId="34" xfId="0" applyFont="1" applyFill="1" applyBorder="1" applyAlignment="1">
      <alignment horizontal="center" vertical="center" wrapText="1"/>
    </xf>
    <xf numFmtId="0" fontId="36" fillId="42" borderId="15" xfId="0" applyFont="1" applyFill="1" applyBorder="1" applyAlignment="1">
      <alignment horizontal="center" vertical="center" wrapText="1"/>
    </xf>
    <xf numFmtId="0" fontId="36" fillId="42" borderId="33" xfId="0" applyFont="1" applyFill="1" applyBorder="1" applyAlignment="1">
      <alignment horizontal="center" vertical="center" wrapText="1"/>
    </xf>
    <xf numFmtId="0" fontId="36" fillId="42" borderId="27" xfId="0" applyFont="1" applyFill="1" applyBorder="1" applyAlignment="1">
      <alignment horizontal="center" vertical="center" wrapText="1"/>
    </xf>
    <xf numFmtId="170" fontId="37" fillId="0" borderId="27" xfId="0" applyNumberFormat="1" applyFont="1" applyBorder="1" applyAlignment="1">
      <alignment horizontal="center" vertical="center" wrapText="1"/>
    </xf>
  </cellXfs>
  <cellStyles count="53">
    <cellStyle name="20% - Ênfase1" xfId="23" builtinId="30" customBuiltin="1"/>
    <cellStyle name="20% - Ênfase2" xfId="27" builtinId="34" customBuiltin="1"/>
    <cellStyle name="20% - Ênfase3" xfId="31" builtinId="38" customBuiltin="1"/>
    <cellStyle name="20% - Ênfase4" xfId="35" builtinId="42" customBuiltin="1"/>
    <cellStyle name="20% - Ênfase5" xfId="39" builtinId="46" customBuiltin="1"/>
    <cellStyle name="20% - Ênfase6" xfId="43" builtinId="50" customBuiltin="1"/>
    <cellStyle name="40% - Ênfase1" xfId="24" builtinId="31" customBuiltin="1"/>
    <cellStyle name="40% - Ênfase2" xfId="28" builtinId="35" customBuiltin="1"/>
    <cellStyle name="40% - Ênfase3" xfId="32" builtinId="39" customBuiltin="1"/>
    <cellStyle name="40% - Ênfase4" xfId="36" builtinId="43" customBuiltin="1"/>
    <cellStyle name="40% - Ênfase5" xfId="40" builtinId="47" customBuiltin="1"/>
    <cellStyle name="40% - Ênfase6" xfId="44" builtinId="51" customBuiltin="1"/>
    <cellStyle name="60% - Ênfase1" xfId="25" builtinId="32" customBuiltin="1"/>
    <cellStyle name="60% - Ênfase2" xfId="29" builtinId="36" customBuiltin="1"/>
    <cellStyle name="60% - Ênfase3" xfId="33" builtinId="40" customBuiltin="1"/>
    <cellStyle name="60% - Ênfase4" xfId="37" builtinId="44" customBuiltin="1"/>
    <cellStyle name="60% - Ênfase5" xfId="41" builtinId="48" customBuiltin="1"/>
    <cellStyle name="60% - Ênfase6" xfId="45" builtinId="52" customBuiltin="1"/>
    <cellStyle name="Bom" xfId="10" builtinId="26" customBuiltin="1"/>
    <cellStyle name="Cálculo" xfId="15" builtinId="22" customBuiltin="1"/>
    <cellStyle name="Célula de Verificação" xfId="17" builtinId="23" customBuiltin="1"/>
    <cellStyle name="Célula Vinculada" xfId="16" builtinId="24" customBuiltin="1"/>
    <cellStyle name="Ênfase1" xfId="22" builtinId="29" customBuiltin="1"/>
    <cellStyle name="Ênfase2" xfId="26" builtinId="33" customBuiltin="1"/>
    <cellStyle name="Ênfase3" xfId="30" builtinId="37" customBuiltin="1"/>
    <cellStyle name="Ênfase4" xfId="34" builtinId="41" customBuiltin="1"/>
    <cellStyle name="Ênfase5" xfId="38" builtinId="45" customBuiltin="1"/>
    <cellStyle name="Ênfase6" xfId="42" builtinId="49" customBuiltin="1"/>
    <cellStyle name="Entrada" xfId="13" builtinId="20" customBuiltin="1"/>
    <cellStyle name="Moeda" xfId="52" builtinId="4"/>
    <cellStyle name="Neutro" xfId="12" builtinId="28" customBuiltin="1"/>
    <cellStyle name="Normal" xfId="0" builtinId="0"/>
    <cellStyle name="Normal 2" xfId="47" xr:uid="{00000000-0005-0000-0000-000020000000}"/>
    <cellStyle name="Nota" xfId="19" builtinId="10" customBuiltin="1"/>
    <cellStyle name="Porcentagem" xfId="1" builtinId="5"/>
    <cellStyle name="Ruim" xfId="11" builtinId="27" customBuiltin="1"/>
    <cellStyle name="Saída" xfId="14" builtinId="21" customBuiltin="1"/>
    <cellStyle name="Texto de Aviso" xfId="18" builtinId="11" customBuiltin="1"/>
    <cellStyle name="Texto Explicativo" xfId="20" builtinId="53" customBuiltin="1"/>
    <cellStyle name="Título" xfId="5" builtinId="15" customBuiltin="1"/>
    <cellStyle name="Título 1" xfId="6" builtinId="16" customBuiltin="1"/>
    <cellStyle name="Título 2" xfId="7" builtinId="17" customBuiltin="1"/>
    <cellStyle name="Título 3" xfId="8" builtinId="18" customBuiltin="1"/>
    <cellStyle name="Título 4" xfId="9" builtinId="19" customBuiltin="1"/>
    <cellStyle name="Total" xfId="21" builtinId="25" customBuiltin="1"/>
    <cellStyle name="Vírgula 2" xfId="2" xr:uid="{00000000-0005-0000-0000-00002D000000}"/>
    <cellStyle name="Vírgula 3" xfId="4" xr:uid="{00000000-0005-0000-0000-00002E000000}"/>
    <cellStyle name="Vírgula 3 2" xfId="50" xr:uid="{00000000-0005-0000-0000-00002F000000}"/>
    <cellStyle name="Vírgula 4" xfId="3" xr:uid="{00000000-0005-0000-0000-000030000000}"/>
    <cellStyle name="Vírgula 4 2" xfId="49" xr:uid="{00000000-0005-0000-0000-000031000000}"/>
    <cellStyle name="Vírgula 5" xfId="46" xr:uid="{00000000-0005-0000-0000-000032000000}"/>
    <cellStyle name="Vírgula 5 2" xfId="51" xr:uid="{00000000-0005-0000-0000-000033000000}"/>
    <cellStyle name="Vírgula 6" xfId="48"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A0D9-789F-4EF7-8C07-6142BB0F075C}">
  <dimension ref="A1:E181"/>
  <sheetViews>
    <sheetView showGridLines="0" view="pageBreakPreview" topLeftCell="A145" zoomScale="60" zoomScaleNormal="115" workbookViewId="0">
      <selection sqref="A1:E181"/>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ht="28.2" customHeight="1" x14ac:dyDescent="0.3">
      <c r="A15" s="22" t="s">
        <v>88</v>
      </c>
      <c r="B15" s="22" t="s">
        <v>89</v>
      </c>
      <c r="C15" s="92" t="s">
        <v>90</v>
      </c>
      <c r="D15" s="92"/>
      <c r="E15" s="92"/>
    </row>
    <row r="16" spans="1:5" x14ac:dyDescent="0.3">
      <c r="A16" s="26" t="s">
        <v>153</v>
      </c>
      <c r="B16" s="22" t="s">
        <v>91</v>
      </c>
      <c r="C16" s="90" t="s">
        <v>155</v>
      </c>
      <c r="D16" s="90"/>
      <c r="E16" s="27">
        <v>2</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1102.44</v>
      </c>
      <c r="D21" s="94"/>
      <c r="E21" s="94"/>
    </row>
    <row r="22" spans="1:5" x14ac:dyDescent="0.3">
      <c r="A22" s="22">
        <v>3</v>
      </c>
      <c r="B22" s="29" t="s">
        <v>97</v>
      </c>
      <c r="C22" s="95" t="s">
        <v>154</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1102.44</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1102.44</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91.87</v>
      </c>
    </row>
    <row r="45" spans="1:3" ht="16.2" thickBot="1" x14ac:dyDescent="0.35">
      <c r="A45" s="9" t="s">
        <v>19</v>
      </c>
      <c r="B45" s="10" t="s">
        <v>34</v>
      </c>
      <c r="C45" s="30">
        <f>C36*(1/12)+C36*(1/3)*(1/12)</f>
        <v>122.49333333333334</v>
      </c>
    </row>
    <row r="46" spans="1:3" ht="16.2" thickBot="1" x14ac:dyDescent="0.35">
      <c r="A46" s="82" t="s">
        <v>2</v>
      </c>
      <c r="B46" s="83"/>
      <c r="C46" s="30">
        <f>SUM(C44:C45)</f>
        <v>214.36333333333334</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263.36066666666665</v>
      </c>
    </row>
    <row r="53" spans="1:4" ht="16.2" thickBot="1" x14ac:dyDescent="0.35">
      <c r="A53" s="9" t="s">
        <v>19</v>
      </c>
      <c r="B53" s="10" t="s">
        <v>40</v>
      </c>
      <c r="C53" s="12">
        <v>2.5000000000000001E-2</v>
      </c>
      <c r="D53" s="30">
        <f t="shared" ref="D53:D60" si="0">($C$36+$C$46)*C53</f>
        <v>32.920083333333331</v>
      </c>
    </row>
    <row r="54" spans="1:4" ht="16.2" thickBot="1" x14ac:dyDescent="0.35">
      <c r="A54" s="9" t="s">
        <v>21</v>
      </c>
      <c r="B54" s="10" t="s">
        <v>41</v>
      </c>
      <c r="C54" s="12">
        <v>0.03</v>
      </c>
      <c r="D54" s="30">
        <f t="shared" si="0"/>
        <v>39.504099999999994</v>
      </c>
    </row>
    <row r="55" spans="1:4" ht="16.2" thickBot="1" x14ac:dyDescent="0.35">
      <c r="A55" s="9" t="s">
        <v>23</v>
      </c>
      <c r="B55" s="10" t="s">
        <v>42</v>
      </c>
      <c r="C55" s="12">
        <v>1.4999999999999999E-2</v>
      </c>
      <c r="D55" s="30">
        <f t="shared" si="0"/>
        <v>19.752049999999997</v>
      </c>
    </row>
    <row r="56" spans="1:4" ht="16.2" thickBot="1" x14ac:dyDescent="0.35">
      <c r="A56" s="9" t="s">
        <v>24</v>
      </c>
      <c r="B56" s="10" t="s">
        <v>43</v>
      </c>
      <c r="C56" s="12">
        <v>0.01</v>
      </c>
      <c r="D56" s="30">
        <f t="shared" si="0"/>
        <v>13.168033333333334</v>
      </c>
    </row>
    <row r="57" spans="1:4" ht="16.2" thickBot="1" x14ac:dyDescent="0.35">
      <c r="A57" s="9" t="s">
        <v>26</v>
      </c>
      <c r="B57" s="10" t="s">
        <v>3</v>
      </c>
      <c r="C57" s="12">
        <v>6.0000000000000001E-3</v>
      </c>
      <c r="D57" s="30">
        <f t="shared" si="0"/>
        <v>7.9008199999999995</v>
      </c>
    </row>
    <row r="58" spans="1:4" ht="16.2" thickBot="1" x14ac:dyDescent="0.35">
      <c r="A58" s="9" t="s">
        <v>27</v>
      </c>
      <c r="B58" s="10" t="s">
        <v>4</v>
      </c>
      <c r="C58" s="12">
        <v>2E-3</v>
      </c>
      <c r="D58" s="30">
        <f t="shared" si="0"/>
        <v>2.6336066666666667</v>
      </c>
    </row>
    <row r="59" spans="1:4" ht="16.2" thickBot="1" x14ac:dyDescent="0.35">
      <c r="A59" s="9" t="s">
        <v>44</v>
      </c>
      <c r="B59" s="10" t="s">
        <v>5</v>
      </c>
      <c r="C59" s="12">
        <v>0.08</v>
      </c>
      <c r="D59" s="30">
        <f t="shared" si="0"/>
        <v>105.34426666666667</v>
      </c>
    </row>
    <row r="60" spans="1:4" ht="16.2" thickBot="1" x14ac:dyDescent="0.35">
      <c r="A60" s="82" t="s">
        <v>45</v>
      </c>
      <c r="B60" s="83"/>
      <c r="C60" s="12">
        <f>SUM(C52:C59)</f>
        <v>0.36800000000000005</v>
      </c>
      <c r="D60" s="30">
        <f t="shared" si="0"/>
        <v>484.5836266666667</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101.05359999999999</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425.65359999999998</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214.36333333333334</v>
      </c>
    </row>
    <row r="77" spans="1:3" ht="16.2" thickBot="1" x14ac:dyDescent="0.35">
      <c r="A77" s="9" t="s">
        <v>36</v>
      </c>
      <c r="B77" s="10" t="s">
        <v>37</v>
      </c>
      <c r="C77" s="30">
        <f>D60</f>
        <v>484.5836266666667</v>
      </c>
    </row>
    <row r="78" spans="1:3" ht="16.2" thickBot="1" x14ac:dyDescent="0.35">
      <c r="A78" s="9" t="s">
        <v>47</v>
      </c>
      <c r="B78" s="10" t="s">
        <v>48</v>
      </c>
      <c r="C78" s="30">
        <f>C70</f>
        <v>425.65359999999998</v>
      </c>
    </row>
    <row r="79" spans="1:3" ht="16.2" thickBot="1" x14ac:dyDescent="0.35">
      <c r="A79" s="82" t="s">
        <v>2</v>
      </c>
      <c r="B79" s="83"/>
      <c r="C79" s="30">
        <f>SUM(C76:C78)</f>
        <v>1124.6005599999999</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64.565253596666651</v>
      </c>
    </row>
    <row r="86" spans="1:4" ht="16.2" thickBot="1" x14ac:dyDescent="0.35">
      <c r="A86" s="9" t="s">
        <v>19</v>
      </c>
      <c r="B86" s="13" t="s">
        <v>56</v>
      </c>
      <c r="C86" s="30">
        <f>C85*8%</f>
        <v>5.165220287733332</v>
      </c>
      <c r="D86" s="31"/>
    </row>
    <row r="87" spans="1:4" ht="16.2" thickBot="1" x14ac:dyDescent="0.35">
      <c r="A87" s="9" t="s">
        <v>21</v>
      </c>
      <c r="B87" s="13" t="s">
        <v>57</v>
      </c>
      <c r="C87" s="30">
        <f>($C$36+$C$46+$D$59+$C$70)*(50%*(40%+10%)*8%)</f>
        <v>36.956023999999999</v>
      </c>
      <c r="D87" s="31"/>
    </row>
    <row r="88" spans="1:4" ht="16.2" thickBot="1" x14ac:dyDescent="0.35">
      <c r="A88" s="9" t="s">
        <v>23</v>
      </c>
      <c r="B88" s="13" t="s">
        <v>58</v>
      </c>
      <c r="C88" s="30">
        <f>($C$36+$C$79)*(41.93%*(1/12))</f>
        <v>77.816508900666648</v>
      </c>
    </row>
    <row r="89" spans="1:4" ht="31.8" thickBot="1" x14ac:dyDescent="0.35">
      <c r="A89" s="9" t="s">
        <v>24</v>
      </c>
      <c r="B89" s="13" t="s">
        <v>102</v>
      </c>
      <c r="C89" s="30">
        <f>$C$60*$C$88</f>
        <v>28.636475275445331</v>
      </c>
    </row>
    <row r="90" spans="1:4" ht="16.2" thickBot="1" x14ac:dyDescent="0.35">
      <c r="A90" s="9" t="s">
        <v>26</v>
      </c>
      <c r="B90" s="13" t="s">
        <v>59</v>
      </c>
      <c r="C90" s="30">
        <f>($C$36+$C$79)*(50%*(40%+10%)*8%)</f>
        <v>44.5408112</v>
      </c>
      <c r="D90" s="31"/>
    </row>
    <row r="91" spans="1:4" ht="16.2" thickBot="1" x14ac:dyDescent="0.35">
      <c r="A91" s="82" t="s">
        <v>2</v>
      </c>
      <c r="B91" s="83"/>
      <c r="C91" s="30">
        <f>SUM(C85:C90)</f>
        <v>257.68029326051197</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142.9563436916325</v>
      </c>
    </row>
    <row r="101" spans="1:3" ht="16.2" thickBot="1" x14ac:dyDescent="0.35">
      <c r="A101" s="9" t="s">
        <v>19</v>
      </c>
      <c r="B101" s="10" t="s">
        <v>104</v>
      </c>
      <c r="C101" s="30">
        <f>(((C36+C79+C91)/30)*(1+3.4521+0.3044+0.0427+0.037+0.02+0.004+0.001))/12</f>
        <v>33.552013921861111</v>
      </c>
    </row>
    <row r="102" spans="1:3" ht="16.2" thickBot="1" x14ac:dyDescent="0.35">
      <c r="A102" s="9" t="s">
        <v>21</v>
      </c>
      <c r="B102" s="10" t="s">
        <v>105</v>
      </c>
      <c r="C102" s="30">
        <f>(((C36+C79+C91)/30)*0.1892)/12</f>
        <v>1.3058588484358025</v>
      </c>
    </row>
    <row r="103" spans="1:3" ht="16.2" thickBot="1" x14ac:dyDescent="0.35">
      <c r="A103" s="9" t="s">
        <v>23</v>
      </c>
      <c r="B103" s="10" t="s">
        <v>106</v>
      </c>
      <c r="C103" s="30">
        <f>(((C36+C79+C91)/30)*0.9548)/12</f>
        <v>6.5900318630364909</v>
      </c>
    </row>
    <row r="104" spans="1:3" ht="16.2" thickBot="1" x14ac:dyDescent="0.35">
      <c r="A104" s="9" t="s">
        <v>24</v>
      </c>
      <c r="B104" s="10" t="s">
        <v>107</v>
      </c>
      <c r="C104" s="30">
        <f>(((C36+C79+C91)/30)*2.4723)/12</f>
        <v>17.063820459766568</v>
      </c>
    </row>
    <row r="105" spans="1:3" ht="16.2" thickBot="1" x14ac:dyDescent="0.35">
      <c r="A105" s="9" t="s">
        <v>26</v>
      </c>
      <c r="B105" s="10" t="s">
        <v>108</v>
      </c>
      <c r="C105" s="30"/>
    </row>
    <row r="106" spans="1:3" ht="16.2" thickBot="1" x14ac:dyDescent="0.35">
      <c r="A106" s="82" t="s">
        <v>45</v>
      </c>
      <c r="B106" s="83"/>
      <c r="C106" s="30">
        <f>SUM(C100:C105)</f>
        <v>201.46806878473248</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201.46806878473248</v>
      </c>
    </row>
    <row r="120" spans="1:5" ht="16.2" thickBot="1" x14ac:dyDescent="0.35">
      <c r="A120" s="9" t="s">
        <v>62</v>
      </c>
      <c r="B120" s="10" t="s">
        <v>113</v>
      </c>
      <c r="C120" s="30">
        <f>C113</f>
        <v>0</v>
      </c>
    </row>
    <row r="121" spans="1:5" ht="16.2" thickBot="1" x14ac:dyDescent="0.35">
      <c r="A121" s="82" t="s">
        <v>2</v>
      </c>
      <c r="B121" s="83"/>
      <c r="C121" s="30">
        <f>SUM(C119:C120)</f>
        <v>201.46806878473248</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2" si="1">C129*D129</f>
        <v>88.84</v>
      </c>
    </row>
    <row r="130" spans="1:5" ht="16.2" thickBot="1" x14ac:dyDescent="0.35">
      <c r="A130" s="61">
        <v>3</v>
      </c>
      <c r="B130" s="36" t="s">
        <v>149</v>
      </c>
      <c r="C130" s="66">
        <v>4</v>
      </c>
      <c r="D130" s="67">
        <v>15</v>
      </c>
      <c r="E130" s="6">
        <f t="shared" si="1"/>
        <v>60</v>
      </c>
    </row>
    <row r="131" spans="1:5" ht="16.2" thickBot="1" x14ac:dyDescent="0.35">
      <c r="A131" s="61">
        <v>4</v>
      </c>
      <c r="B131" s="36" t="s">
        <v>156</v>
      </c>
      <c r="C131" s="66">
        <v>1</v>
      </c>
      <c r="D131" s="67">
        <v>45.29</v>
      </c>
      <c r="E131" s="6">
        <f t="shared" si="1"/>
        <v>45.29</v>
      </c>
    </row>
    <row r="132" spans="1:5" ht="16.2" thickBot="1" x14ac:dyDescent="0.35">
      <c r="A132" s="61">
        <v>5</v>
      </c>
      <c r="B132" s="36" t="s">
        <v>151</v>
      </c>
      <c r="C132" s="66">
        <v>1</v>
      </c>
      <c r="D132" s="67">
        <v>20.309999999999999</v>
      </c>
      <c r="E132" s="6">
        <f t="shared" si="1"/>
        <v>20.309999999999999</v>
      </c>
    </row>
    <row r="133" spans="1:5" ht="16.2" thickBot="1" x14ac:dyDescent="0.35">
      <c r="A133" s="87" t="s">
        <v>114</v>
      </c>
      <c r="B133" s="88"/>
      <c r="C133" s="5"/>
      <c r="D133" s="5"/>
      <c r="E133" s="37">
        <f>SUM(E128:E132)</f>
        <v>307</v>
      </c>
    </row>
    <row r="134" spans="1:5" ht="16.2" thickBot="1" x14ac:dyDescent="0.35">
      <c r="A134" s="87" t="s">
        <v>115</v>
      </c>
      <c r="B134" s="88"/>
      <c r="C134" s="5"/>
      <c r="D134" s="5"/>
      <c r="E134" s="37">
        <f>E133/12</f>
        <v>25.583333333333332</v>
      </c>
    </row>
    <row r="135" spans="1:5" ht="16.2" thickBot="1" x14ac:dyDescent="0.35">
      <c r="A135" s="59"/>
      <c r="B135" s="59"/>
      <c r="C135" s="59"/>
    </row>
    <row r="136" spans="1:5" ht="16.2" thickBot="1" x14ac:dyDescent="0.35">
      <c r="A136" s="7">
        <v>5</v>
      </c>
      <c r="B136" s="14" t="s">
        <v>6</v>
      </c>
      <c r="C136" s="8" t="s">
        <v>16</v>
      </c>
    </row>
    <row r="137" spans="1:5" ht="16.2" thickBot="1" x14ac:dyDescent="0.35">
      <c r="A137" s="9" t="s">
        <v>17</v>
      </c>
      <c r="B137" s="10" t="s">
        <v>66</v>
      </c>
      <c r="C137" s="30">
        <f>E134</f>
        <v>25.583333333333332</v>
      </c>
    </row>
    <row r="138" spans="1:5" ht="16.2" thickBot="1" x14ac:dyDescent="0.35">
      <c r="A138" s="9" t="s">
        <v>19</v>
      </c>
      <c r="B138" s="10" t="s">
        <v>67</v>
      </c>
      <c r="C138" s="30">
        <f>'Materiais Uso Coletivo'!G7</f>
        <v>0.48458333333333337</v>
      </c>
    </row>
    <row r="139" spans="1:5" ht="16.2" thickBot="1" x14ac:dyDescent="0.35">
      <c r="A139" s="9" t="s">
        <v>21</v>
      </c>
      <c r="B139" s="10" t="s">
        <v>68</v>
      </c>
      <c r="C139" s="30">
        <v>0</v>
      </c>
    </row>
    <row r="140" spans="1:5" ht="16.2" thickBot="1" x14ac:dyDescent="0.35">
      <c r="A140" s="9" t="s">
        <v>23</v>
      </c>
      <c r="B140" s="10" t="s">
        <v>28</v>
      </c>
      <c r="C140" s="30"/>
    </row>
    <row r="141" spans="1:5" ht="16.2" thickBot="1" x14ac:dyDescent="0.35">
      <c r="A141" s="82" t="s">
        <v>45</v>
      </c>
      <c r="B141" s="83"/>
      <c r="C141" s="30">
        <f>SUM(C137:C140)</f>
        <v>26.067916666666665</v>
      </c>
    </row>
    <row r="144" spans="1:5" x14ac:dyDescent="0.3">
      <c r="A144" s="81" t="s">
        <v>69</v>
      </c>
      <c r="B144" s="81"/>
      <c r="C144" s="81"/>
    </row>
    <row r="145" spans="1:5" ht="16.2" thickBot="1" x14ac:dyDescent="0.35"/>
    <row r="146" spans="1:5" ht="16.2" thickBot="1" x14ac:dyDescent="0.35">
      <c r="A146" s="7">
        <v>6</v>
      </c>
      <c r="B146" s="14" t="s">
        <v>7</v>
      </c>
      <c r="C146" s="8" t="s">
        <v>38</v>
      </c>
      <c r="D146" s="8" t="s">
        <v>16</v>
      </c>
    </row>
    <row r="147" spans="1:5" ht="16.2" thickBot="1" x14ac:dyDescent="0.35">
      <c r="A147" s="9" t="s">
        <v>17</v>
      </c>
      <c r="B147" s="10" t="s">
        <v>8</v>
      </c>
      <c r="C147" s="42">
        <v>0.03</v>
      </c>
      <c r="D147" s="40">
        <f>C164*C147</f>
        <v>81.367705161357335</v>
      </c>
    </row>
    <row r="148" spans="1:5" ht="16.2" thickBot="1" x14ac:dyDescent="0.35">
      <c r="A148" s="9" t="s">
        <v>19</v>
      </c>
      <c r="B148" s="10" t="s">
        <v>10</v>
      </c>
      <c r="C148" s="42">
        <v>6.7900000000000002E-2</v>
      </c>
      <c r="D148" s="40">
        <f>(C164+D147)*C148</f>
        <v>189.68710652899495</v>
      </c>
    </row>
    <row r="149" spans="1:5" ht="16.2" thickBot="1" x14ac:dyDescent="0.35">
      <c r="A149" s="9" t="s">
        <v>21</v>
      </c>
      <c r="B149" s="10" t="s">
        <v>9</v>
      </c>
      <c r="C149" s="38">
        <v>0.14249999999999999</v>
      </c>
      <c r="D149" s="41"/>
      <c r="E149" s="31">
        <f>(C164+D147+D148)/(1-C149)</f>
        <v>3479.0806418685288</v>
      </c>
    </row>
    <row r="150" spans="1:5" ht="16.2" thickBot="1" x14ac:dyDescent="0.35">
      <c r="A150" s="9"/>
      <c r="B150" s="10" t="s">
        <v>117</v>
      </c>
      <c r="C150" s="42">
        <v>1.6500000000000001E-2</v>
      </c>
      <c r="D150" s="40">
        <f>$E$149*C150</f>
        <v>57.404830590830727</v>
      </c>
    </row>
    <row r="151" spans="1:5" ht="16.2" thickBot="1" x14ac:dyDescent="0.35">
      <c r="A151" s="9"/>
      <c r="B151" s="10" t="s">
        <v>118</v>
      </c>
      <c r="C151" s="42">
        <v>7.5999999999999998E-2</v>
      </c>
      <c r="D151" s="40">
        <f>$E$149*C151</f>
        <v>264.4101287820082</v>
      </c>
    </row>
    <row r="152" spans="1:5" ht="16.2" thickBot="1" x14ac:dyDescent="0.35">
      <c r="A152" s="9"/>
      <c r="B152" s="10" t="s">
        <v>116</v>
      </c>
      <c r="C152" s="42">
        <v>0.05</v>
      </c>
      <c r="D152" s="40">
        <f t="shared" ref="D152" si="2">$E$149*C152</f>
        <v>173.95403209342646</v>
      </c>
    </row>
    <row r="153" spans="1:5" ht="16.2" thickBot="1" x14ac:dyDescent="0.35">
      <c r="A153" s="82" t="s">
        <v>45</v>
      </c>
      <c r="B153" s="83"/>
      <c r="C153" s="12">
        <v>0.30449999999999999</v>
      </c>
      <c r="D153" s="40">
        <f>SUM(D147:D152)</f>
        <v>766.8238031566176</v>
      </c>
      <c r="E153" s="31"/>
    </row>
    <row r="154" spans="1:5" x14ac:dyDescent="0.3">
      <c r="D154" s="31"/>
    </row>
    <row r="156" spans="1:5" x14ac:dyDescent="0.3">
      <c r="A156" s="81" t="s">
        <v>70</v>
      </c>
      <c r="B156" s="81"/>
      <c r="C156" s="81"/>
    </row>
    <row r="157" spans="1:5" ht="16.2" thickBot="1" x14ac:dyDescent="0.35"/>
    <row r="158" spans="1:5" ht="16.2" thickBot="1" x14ac:dyDescent="0.35">
      <c r="A158" s="7"/>
      <c r="B158" s="8" t="s">
        <v>71</v>
      </c>
      <c r="C158" s="8" t="s">
        <v>16</v>
      </c>
    </row>
    <row r="159" spans="1:5" ht="16.2" thickBot="1" x14ac:dyDescent="0.35">
      <c r="A159" s="16" t="s">
        <v>17</v>
      </c>
      <c r="B159" s="10" t="s">
        <v>14</v>
      </c>
      <c r="C159" s="39">
        <f>C36</f>
        <v>1102.44</v>
      </c>
    </row>
    <row r="160" spans="1:5" ht="16.2" thickBot="1" x14ac:dyDescent="0.35">
      <c r="A160" s="16" t="s">
        <v>19</v>
      </c>
      <c r="B160" s="10" t="s">
        <v>29</v>
      </c>
      <c r="C160" s="39">
        <f>C79</f>
        <v>1124.6005599999999</v>
      </c>
    </row>
    <row r="161" spans="1:5" ht="16.2" thickBot="1" x14ac:dyDescent="0.35">
      <c r="A161" s="16" t="s">
        <v>21</v>
      </c>
      <c r="B161" s="10" t="s">
        <v>53</v>
      </c>
      <c r="C161" s="39">
        <f>C91</f>
        <v>257.68029326051197</v>
      </c>
    </row>
    <row r="162" spans="1:5" ht="16.2" thickBot="1" x14ac:dyDescent="0.35">
      <c r="A162" s="16" t="s">
        <v>23</v>
      </c>
      <c r="B162" s="10" t="s">
        <v>60</v>
      </c>
      <c r="C162" s="39">
        <f>C121</f>
        <v>201.46806878473248</v>
      </c>
    </row>
    <row r="163" spans="1:5" ht="16.2" thickBot="1" x14ac:dyDescent="0.35">
      <c r="A163" s="16" t="s">
        <v>24</v>
      </c>
      <c r="B163" s="10" t="s">
        <v>65</v>
      </c>
      <c r="C163" s="39">
        <f>C141</f>
        <v>26.067916666666665</v>
      </c>
    </row>
    <row r="164" spans="1:5" ht="16.2" thickBot="1" x14ac:dyDescent="0.35">
      <c r="A164" s="82" t="s">
        <v>72</v>
      </c>
      <c r="B164" s="83"/>
      <c r="C164" s="39">
        <f>SUM(C159:C163)</f>
        <v>2712.2568387119113</v>
      </c>
    </row>
    <row r="165" spans="1:5" ht="16.2" thickBot="1" x14ac:dyDescent="0.35">
      <c r="A165" s="16" t="s">
        <v>26</v>
      </c>
      <c r="B165" s="10" t="s">
        <v>73</v>
      </c>
      <c r="C165" s="39">
        <f>D153</f>
        <v>766.8238031566176</v>
      </c>
    </row>
    <row r="166" spans="1:5" ht="16.2" thickBot="1" x14ac:dyDescent="0.35">
      <c r="A166" s="82" t="s">
        <v>74</v>
      </c>
      <c r="B166" s="83"/>
      <c r="C166" s="39">
        <f>C164+C165</f>
        <v>3479.0806418685288</v>
      </c>
    </row>
    <row r="169" spans="1:5" x14ac:dyDescent="0.3">
      <c r="A169" t="s">
        <v>319</v>
      </c>
      <c r="B169"/>
      <c r="C169"/>
      <c r="D169"/>
      <c r="E169"/>
    </row>
    <row r="170" spans="1:5" x14ac:dyDescent="0.3">
      <c r="A170"/>
      <c r="B170"/>
      <c r="C170"/>
      <c r="D170"/>
      <c r="E170"/>
    </row>
    <row r="171" spans="1:5" x14ac:dyDescent="0.3">
      <c r="A171" s="48"/>
      <c r="B171" s="48" t="s">
        <v>120</v>
      </c>
      <c r="C171" s="49"/>
      <c r="D171" s="50"/>
    </row>
    <row r="172" spans="1:5" x14ac:dyDescent="0.3">
      <c r="A172" s="51"/>
      <c r="B172" s="51" t="s">
        <v>121</v>
      </c>
      <c r="C172" s="50"/>
      <c r="D172" s="50"/>
    </row>
    <row r="173" spans="1:5" x14ac:dyDescent="0.3">
      <c r="B173" s="15" t="s">
        <v>144</v>
      </c>
      <c r="C173" s="50"/>
      <c r="D173" s="50"/>
    </row>
    <row r="174" spans="1:5" x14ac:dyDescent="0.3">
      <c r="A174" s="3"/>
      <c r="B174" s="51" t="s">
        <v>123</v>
      </c>
      <c r="C174" s="50"/>
      <c r="D174" s="50"/>
    </row>
    <row r="175" spans="1:5" x14ac:dyDescent="0.3">
      <c r="A175" s="1"/>
      <c r="B175" s="1" t="s">
        <v>124</v>
      </c>
      <c r="C175" s="1"/>
      <c r="D175" s="50"/>
    </row>
    <row r="177" spans="2:2" x14ac:dyDescent="0.3">
      <c r="B177" s="48" t="s">
        <v>120</v>
      </c>
    </row>
    <row r="178" spans="2:2" x14ac:dyDescent="0.3">
      <c r="B178" s="51" t="s">
        <v>121</v>
      </c>
    </row>
    <row r="179" spans="2:2" x14ac:dyDescent="0.3">
      <c r="B179" s="15" t="s">
        <v>122</v>
      </c>
    </row>
    <row r="180" spans="2:2" x14ac:dyDescent="0.3">
      <c r="B180" s="51" t="s">
        <v>142</v>
      </c>
    </row>
    <row r="181" spans="2:2" x14ac:dyDescent="0.3">
      <c r="B181" s="1" t="s">
        <v>143</v>
      </c>
    </row>
  </sheetData>
  <mergeCells count="47">
    <mergeCell ref="C10:E10"/>
    <mergeCell ref="A1:D1"/>
    <mergeCell ref="A2:D2"/>
    <mergeCell ref="A3:D3"/>
    <mergeCell ref="A8:E8"/>
    <mergeCell ref="C9:E9"/>
    <mergeCell ref="A27:C27"/>
    <mergeCell ref="C11:E11"/>
    <mergeCell ref="C12:E12"/>
    <mergeCell ref="A14:C14"/>
    <mergeCell ref="C15:E15"/>
    <mergeCell ref="C16:D16"/>
    <mergeCell ref="A18:E18"/>
    <mergeCell ref="A19:E19"/>
    <mergeCell ref="C20:E20"/>
    <mergeCell ref="C21:E21"/>
    <mergeCell ref="C22:E22"/>
    <mergeCell ref="C23:E23"/>
    <mergeCell ref="A91:B91"/>
    <mergeCell ref="A36:B36"/>
    <mergeCell ref="A39:C39"/>
    <mergeCell ref="A41:C41"/>
    <mergeCell ref="A46:B46"/>
    <mergeCell ref="A49:D49"/>
    <mergeCell ref="A60:B60"/>
    <mergeCell ref="A63:C63"/>
    <mergeCell ref="A70:B70"/>
    <mergeCell ref="A73:C73"/>
    <mergeCell ref="A79:B79"/>
    <mergeCell ref="A82:C82"/>
    <mergeCell ref="A141:B141"/>
    <mergeCell ref="A94:C94"/>
    <mergeCell ref="A97:C97"/>
    <mergeCell ref="A106:B106"/>
    <mergeCell ref="A109:C109"/>
    <mergeCell ref="A113:B113"/>
    <mergeCell ref="A116:C116"/>
    <mergeCell ref="A121:B121"/>
    <mergeCell ref="A124:C124"/>
    <mergeCell ref="A126:E126"/>
    <mergeCell ref="A133:B133"/>
    <mergeCell ref="A134:B134"/>
    <mergeCell ref="A144:C144"/>
    <mergeCell ref="A153:B153"/>
    <mergeCell ref="A156:C156"/>
    <mergeCell ref="A164:B164"/>
    <mergeCell ref="A166:B166"/>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54707-707F-499A-A740-280249CC2B27}">
  <dimension ref="A1:H22"/>
  <sheetViews>
    <sheetView zoomScaleNormal="100" zoomScaleSheetLayoutView="70" workbookViewId="0">
      <selection sqref="A1:H22"/>
    </sheetView>
  </sheetViews>
  <sheetFormatPr defaultRowHeight="14.4" x14ac:dyDescent="0.3"/>
  <cols>
    <col min="2" max="2" width="43.44140625" customWidth="1"/>
    <col min="6" max="6" width="10.5546875" bestFit="1" customWidth="1"/>
    <col min="7" max="7" width="17.6640625" customWidth="1"/>
  </cols>
  <sheetData>
    <row r="1" spans="1:8" ht="15" customHeight="1" x14ac:dyDescent="0.3">
      <c r="A1" s="102" t="s">
        <v>266</v>
      </c>
      <c r="B1" s="103"/>
      <c r="C1" s="103"/>
      <c r="D1" s="103"/>
      <c r="E1" s="103"/>
      <c r="F1" s="103"/>
      <c r="G1" s="103"/>
      <c r="H1" s="103"/>
    </row>
    <row r="2" spans="1:8" ht="15" customHeight="1" x14ac:dyDescent="0.3">
      <c r="A2" s="104"/>
      <c r="B2" s="105"/>
      <c r="C2" s="105"/>
      <c r="D2" s="105"/>
      <c r="E2" s="105"/>
      <c r="F2" s="105"/>
      <c r="G2" s="105"/>
      <c r="H2" s="105"/>
    </row>
    <row r="3" spans="1:8" ht="15.75" customHeight="1" x14ac:dyDescent="0.3">
      <c r="A3" s="100" t="s">
        <v>119</v>
      </c>
      <c r="B3" s="100" t="s">
        <v>125</v>
      </c>
      <c r="C3" s="100" t="s">
        <v>126</v>
      </c>
      <c r="D3" s="100" t="s">
        <v>127</v>
      </c>
      <c r="E3" s="100" t="s">
        <v>265</v>
      </c>
      <c r="F3" s="100" t="s">
        <v>129</v>
      </c>
      <c r="G3" s="100"/>
      <c r="H3" s="100" t="s">
        <v>128</v>
      </c>
    </row>
    <row r="4" spans="1:8" ht="31.2" x14ac:dyDescent="0.3">
      <c r="A4" s="101"/>
      <c r="B4" s="101"/>
      <c r="C4" s="101"/>
      <c r="D4" s="101"/>
      <c r="E4" s="101"/>
      <c r="F4" s="43" t="s">
        <v>130</v>
      </c>
      <c r="G4" s="43" t="s">
        <v>131</v>
      </c>
      <c r="H4" s="101"/>
    </row>
    <row r="5" spans="1:8" ht="15.6" x14ac:dyDescent="0.3">
      <c r="A5" s="52">
        <v>1</v>
      </c>
      <c r="B5" s="44" t="s">
        <v>267</v>
      </c>
      <c r="C5" s="45" t="s">
        <v>133</v>
      </c>
      <c r="D5" s="70">
        <v>22</v>
      </c>
      <c r="E5" s="71">
        <v>12</v>
      </c>
      <c r="F5" s="47">
        <v>4.47</v>
      </c>
      <c r="G5" s="53">
        <f>D5*F5/E5</f>
        <v>8.1949999999999985</v>
      </c>
      <c r="H5" s="18"/>
    </row>
    <row r="6" spans="1:8" ht="15.6" x14ac:dyDescent="0.3">
      <c r="A6" s="106" t="s">
        <v>262</v>
      </c>
      <c r="B6" s="106"/>
      <c r="C6" s="107"/>
      <c r="D6" s="107"/>
      <c r="E6" s="106"/>
      <c r="F6" s="106"/>
      <c r="G6" s="54">
        <f>SUM(G5:G5)</f>
        <v>8.1949999999999985</v>
      </c>
    </row>
    <row r="7" spans="1:8" ht="15.6" x14ac:dyDescent="0.3">
      <c r="A7" s="106" t="s">
        <v>288</v>
      </c>
      <c r="B7" s="106"/>
      <c r="C7" s="106"/>
      <c r="D7" s="106"/>
      <c r="E7" s="106"/>
      <c r="F7" s="106"/>
      <c r="G7" s="55">
        <f>G6/11</f>
        <v>0.74499999999999988</v>
      </c>
    </row>
    <row r="8" spans="1:8" ht="15.6" x14ac:dyDescent="0.3">
      <c r="A8" s="50"/>
      <c r="B8" s="50"/>
      <c r="C8" s="50"/>
      <c r="D8" s="50"/>
      <c r="E8" s="50"/>
      <c r="F8" s="50"/>
      <c r="G8" s="50"/>
    </row>
    <row r="9" spans="1:8" ht="15.6" x14ac:dyDescent="0.3">
      <c r="A9" s="50"/>
      <c r="B9" s="50"/>
      <c r="C9" s="50"/>
      <c r="D9" s="50"/>
      <c r="E9" s="50"/>
      <c r="F9" s="50"/>
      <c r="G9" s="50"/>
    </row>
    <row r="10" spans="1:8" ht="15.6" x14ac:dyDescent="0.3">
      <c r="A10" s="50"/>
      <c r="B10" t="s">
        <v>319</v>
      </c>
      <c r="C10" s="50"/>
      <c r="D10" s="50"/>
      <c r="E10" s="50"/>
      <c r="F10" s="50"/>
      <c r="G10" s="50"/>
    </row>
    <row r="11" spans="1:8" ht="15.6" x14ac:dyDescent="0.3">
      <c r="A11" s="50"/>
      <c r="B11" s="50"/>
      <c r="C11" s="50"/>
      <c r="D11" s="50"/>
      <c r="E11" s="50"/>
      <c r="F11" s="50"/>
      <c r="G11" s="50"/>
    </row>
    <row r="12" spans="1:8" ht="15.6" x14ac:dyDescent="0.3">
      <c r="A12" s="50"/>
      <c r="B12" s="48" t="s">
        <v>120</v>
      </c>
      <c r="C12" s="51"/>
      <c r="D12" s="50"/>
      <c r="E12" s="50"/>
      <c r="F12" s="50"/>
    </row>
    <row r="13" spans="1:8" ht="15.6" x14ac:dyDescent="0.3">
      <c r="A13" s="50"/>
      <c r="B13" s="51" t="s">
        <v>121</v>
      </c>
      <c r="C13" s="51"/>
      <c r="D13" s="50"/>
      <c r="E13" s="50"/>
      <c r="F13" s="50"/>
    </row>
    <row r="14" spans="1:8" ht="15.6" x14ac:dyDescent="0.3">
      <c r="A14" s="50"/>
      <c r="B14" s="15" t="s">
        <v>122</v>
      </c>
      <c r="C14" s="15"/>
      <c r="D14" s="50"/>
      <c r="E14" s="50"/>
      <c r="F14" s="50"/>
    </row>
    <row r="15" spans="1:8" ht="15.6" x14ac:dyDescent="0.3">
      <c r="A15" s="50"/>
      <c r="B15" s="51" t="s">
        <v>123</v>
      </c>
      <c r="C15" s="51"/>
      <c r="D15" s="50"/>
      <c r="E15" s="50"/>
      <c r="F15" s="50"/>
    </row>
    <row r="16" spans="1:8" ht="15.6" x14ac:dyDescent="0.3">
      <c r="A16" s="50"/>
      <c r="B16" s="1" t="s">
        <v>124</v>
      </c>
      <c r="C16" s="1"/>
      <c r="D16" s="1"/>
      <c r="E16" s="50"/>
      <c r="F16" s="50"/>
    </row>
    <row r="18" spans="2:2" x14ac:dyDescent="0.3">
      <c r="B18" s="48" t="s">
        <v>120</v>
      </c>
    </row>
    <row r="19" spans="2:2" ht="15.6" x14ac:dyDescent="0.3">
      <c r="B19" s="51" t="s">
        <v>121</v>
      </c>
    </row>
    <row r="20" spans="2:2" ht="15.6" x14ac:dyDescent="0.3">
      <c r="B20" s="15" t="s">
        <v>122</v>
      </c>
    </row>
    <row r="21" spans="2:2" ht="15.6" x14ac:dyDescent="0.3">
      <c r="B21" s="51" t="s">
        <v>142</v>
      </c>
    </row>
    <row r="22" spans="2:2" ht="15.6" x14ac:dyDescent="0.3">
      <c r="B22" s="1" t="s">
        <v>143</v>
      </c>
    </row>
  </sheetData>
  <mergeCells count="10">
    <mergeCell ref="A6:F6"/>
    <mergeCell ref="A7:F7"/>
    <mergeCell ref="H3:H4"/>
    <mergeCell ref="A1:H2"/>
    <mergeCell ref="A3:A4"/>
    <mergeCell ref="B3:B4"/>
    <mergeCell ref="C3:C4"/>
    <mergeCell ref="D3:D4"/>
    <mergeCell ref="E3:E4"/>
    <mergeCell ref="F3:G3"/>
  </mergeCells>
  <pageMargins left="0.511811024" right="0.511811024" top="0.78740157499999996" bottom="0.78740157499999996" header="0.31496062000000002" footer="0.31496062000000002"/>
  <pageSetup paperSize="9" scale="78"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CD3B-ED63-45F8-8479-9B9F2F7E541A}">
  <dimension ref="A1:E182"/>
  <sheetViews>
    <sheetView showGridLines="0" zoomScale="115" zoomScaleNormal="115" workbookViewId="0">
      <selection sqref="A1:E182"/>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183</v>
      </c>
      <c r="D16" s="90"/>
      <c r="E16" s="27">
        <v>1</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1020</v>
      </c>
      <c r="D21" s="94"/>
      <c r="E21" s="94"/>
    </row>
    <row r="22" spans="1:5" x14ac:dyDescent="0.3">
      <c r="A22" s="22">
        <v>3</v>
      </c>
      <c r="B22" s="29" t="s">
        <v>97</v>
      </c>
      <c r="C22" s="95" t="s">
        <v>182</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1020</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1020</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85</v>
      </c>
    </row>
    <row r="45" spans="1:3" ht="16.2" thickBot="1" x14ac:dyDescent="0.35">
      <c r="A45" s="9" t="s">
        <v>19</v>
      </c>
      <c r="B45" s="10" t="s">
        <v>34</v>
      </c>
      <c r="C45" s="30">
        <f>C36*(1/12)+C36*(1/3)*(1/12)</f>
        <v>113.33333333333333</v>
      </c>
    </row>
    <row r="46" spans="1:3" ht="16.2" thickBot="1" x14ac:dyDescent="0.35">
      <c r="A46" s="82" t="s">
        <v>2</v>
      </c>
      <c r="B46" s="83"/>
      <c r="C46" s="30">
        <f>SUM(C44:C45)</f>
        <v>198.33333333333331</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243.66666666666666</v>
      </c>
    </row>
    <row r="53" spans="1:4" ht="16.2" thickBot="1" x14ac:dyDescent="0.35">
      <c r="A53" s="9" t="s">
        <v>19</v>
      </c>
      <c r="B53" s="10" t="s">
        <v>40</v>
      </c>
      <c r="C53" s="12">
        <v>2.5000000000000001E-2</v>
      </c>
      <c r="D53" s="30">
        <f t="shared" ref="D53:D60" si="0">($C$36+$C$46)*C53</f>
        <v>30.458333333333332</v>
      </c>
    </row>
    <row r="54" spans="1:4" ht="16.2" thickBot="1" x14ac:dyDescent="0.35">
      <c r="A54" s="9" t="s">
        <v>21</v>
      </c>
      <c r="B54" s="10" t="s">
        <v>41</v>
      </c>
      <c r="C54" s="12">
        <v>0.03</v>
      </c>
      <c r="D54" s="30">
        <f t="shared" si="0"/>
        <v>36.549999999999997</v>
      </c>
    </row>
    <row r="55" spans="1:4" ht="16.2" thickBot="1" x14ac:dyDescent="0.35">
      <c r="A55" s="9" t="s">
        <v>23</v>
      </c>
      <c r="B55" s="10" t="s">
        <v>42</v>
      </c>
      <c r="C55" s="12">
        <v>1.4999999999999999E-2</v>
      </c>
      <c r="D55" s="30">
        <f t="shared" si="0"/>
        <v>18.274999999999999</v>
      </c>
    </row>
    <row r="56" spans="1:4" ht="16.2" thickBot="1" x14ac:dyDescent="0.35">
      <c r="A56" s="9" t="s">
        <v>24</v>
      </c>
      <c r="B56" s="10" t="s">
        <v>43</v>
      </c>
      <c r="C56" s="12">
        <v>0.01</v>
      </c>
      <c r="D56" s="30">
        <f t="shared" si="0"/>
        <v>12.183333333333334</v>
      </c>
    </row>
    <row r="57" spans="1:4" ht="16.2" thickBot="1" x14ac:dyDescent="0.35">
      <c r="A57" s="9" t="s">
        <v>26</v>
      </c>
      <c r="B57" s="10" t="s">
        <v>3</v>
      </c>
      <c r="C57" s="12">
        <v>6.0000000000000001E-3</v>
      </c>
      <c r="D57" s="30">
        <f t="shared" si="0"/>
        <v>7.31</v>
      </c>
    </row>
    <row r="58" spans="1:4" ht="16.2" thickBot="1" x14ac:dyDescent="0.35">
      <c r="A58" s="9" t="s">
        <v>27</v>
      </c>
      <c r="B58" s="10" t="s">
        <v>4</v>
      </c>
      <c r="C58" s="12">
        <v>2E-3</v>
      </c>
      <c r="D58" s="30">
        <f t="shared" si="0"/>
        <v>2.4366666666666665</v>
      </c>
    </row>
    <row r="59" spans="1:4" ht="16.2" thickBot="1" x14ac:dyDescent="0.35">
      <c r="A59" s="9" t="s">
        <v>44</v>
      </c>
      <c r="B59" s="10" t="s">
        <v>5</v>
      </c>
      <c r="C59" s="12">
        <v>0.08</v>
      </c>
      <c r="D59" s="30">
        <f t="shared" si="0"/>
        <v>97.466666666666669</v>
      </c>
    </row>
    <row r="60" spans="1:4" ht="16.2" thickBot="1" x14ac:dyDescent="0.35">
      <c r="A60" s="82" t="s">
        <v>45</v>
      </c>
      <c r="B60" s="83"/>
      <c r="C60" s="12">
        <f>SUM(C52:C59)</f>
        <v>0.36800000000000005</v>
      </c>
      <c r="D60" s="30">
        <f t="shared" si="0"/>
        <v>448.34666666666669</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106</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430.6</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198.33333333333331</v>
      </c>
    </row>
    <row r="77" spans="1:3" ht="16.2" thickBot="1" x14ac:dyDescent="0.35">
      <c r="A77" s="9" t="s">
        <v>36</v>
      </c>
      <c r="B77" s="10" t="s">
        <v>37</v>
      </c>
      <c r="C77" s="30">
        <f>D60</f>
        <v>448.34666666666669</v>
      </c>
    </row>
    <row r="78" spans="1:3" ht="16.2" thickBot="1" x14ac:dyDescent="0.35">
      <c r="A78" s="9" t="s">
        <v>47</v>
      </c>
      <c r="B78" s="10" t="s">
        <v>48</v>
      </c>
      <c r="C78" s="30">
        <f>C70</f>
        <v>430.6</v>
      </c>
    </row>
    <row r="79" spans="1:3" ht="16.2" thickBot="1" x14ac:dyDescent="0.35">
      <c r="A79" s="82" t="s">
        <v>2</v>
      </c>
      <c r="B79" s="83"/>
      <c r="C79" s="30">
        <f>SUM(C76:C78)</f>
        <v>1077.2800000000002</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61.022126666666665</v>
      </c>
    </row>
    <row r="86" spans="1:4" ht="16.2" thickBot="1" x14ac:dyDescent="0.35">
      <c r="A86" s="9" t="s">
        <v>19</v>
      </c>
      <c r="B86" s="13" t="s">
        <v>56</v>
      </c>
      <c r="C86" s="30">
        <f>C85*8%</f>
        <v>4.8817701333333332</v>
      </c>
      <c r="D86" s="31"/>
    </row>
    <row r="87" spans="1:4" ht="16.2" thickBot="1" x14ac:dyDescent="0.35">
      <c r="A87" s="9" t="s">
        <v>21</v>
      </c>
      <c r="B87" s="13" t="s">
        <v>57</v>
      </c>
      <c r="C87" s="30">
        <f>($C$36+$C$46+$D$59+$C$70)*(50%*(40%+10%)*8%)</f>
        <v>34.928000000000004</v>
      </c>
      <c r="D87" s="31"/>
    </row>
    <row r="88" spans="1:4" ht="16.2" thickBot="1" x14ac:dyDescent="0.35">
      <c r="A88" s="9" t="s">
        <v>23</v>
      </c>
      <c r="B88" s="13" t="s">
        <v>58</v>
      </c>
      <c r="C88" s="30">
        <f>($C$36+$C$79)*(41.93%*(1/12))</f>
        <v>73.28245866666667</v>
      </c>
    </row>
    <row r="89" spans="1:4" ht="31.8" thickBot="1" x14ac:dyDescent="0.35">
      <c r="A89" s="9" t="s">
        <v>24</v>
      </c>
      <c r="B89" s="13" t="s">
        <v>102</v>
      </c>
      <c r="C89" s="30">
        <f>$C$60*$C$88</f>
        <v>26.967944789333337</v>
      </c>
    </row>
    <row r="90" spans="1:4" ht="16.2" thickBot="1" x14ac:dyDescent="0.35">
      <c r="A90" s="9" t="s">
        <v>26</v>
      </c>
      <c r="B90" s="13" t="s">
        <v>59</v>
      </c>
      <c r="C90" s="30">
        <f>($C$36+$C$79)*(50%*(40%+10%)*8%)</f>
        <v>41.945600000000006</v>
      </c>
      <c r="D90" s="31"/>
    </row>
    <row r="91" spans="1:4" ht="16.2" thickBot="1" x14ac:dyDescent="0.35">
      <c r="A91" s="82" t="s">
        <v>2</v>
      </c>
      <c r="B91" s="83"/>
      <c r="C91" s="30">
        <f>SUM(C85:C90)</f>
        <v>243.02790025600001</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134.64766478464543</v>
      </c>
    </row>
    <row r="101" spans="1:3" ht="16.2" thickBot="1" x14ac:dyDescent="0.35">
      <c r="A101" s="9" t="s">
        <v>19</v>
      </c>
      <c r="B101" s="10" t="s">
        <v>104</v>
      </c>
      <c r="C101" s="30">
        <f>(((C36+C79+C91)/30)*(1+3.4521+0.3044+0.0427+0.037+0.02+0.004+0.001))/12</f>
        <v>31.601957679790186</v>
      </c>
    </row>
    <row r="102" spans="1:3" ht="16.2" thickBot="1" x14ac:dyDescent="0.35">
      <c r="A102" s="9" t="s">
        <v>21</v>
      </c>
      <c r="B102" s="10" t="s">
        <v>105</v>
      </c>
      <c r="C102" s="30">
        <f>(((C36+C79+C91)/30)*0.1892)/12</f>
        <v>1.229961818690098</v>
      </c>
    </row>
    <row r="103" spans="1:3" ht="16.2" thickBot="1" x14ac:dyDescent="0.35">
      <c r="A103" s="9" t="s">
        <v>23</v>
      </c>
      <c r="B103" s="10" t="s">
        <v>106</v>
      </c>
      <c r="C103" s="30">
        <f>(((C36+C79+C91)/30)*0.9548)/12</f>
        <v>6.207016619901192</v>
      </c>
    </row>
    <row r="104" spans="1:3" ht="16.2" thickBot="1" x14ac:dyDescent="0.35">
      <c r="A104" s="9" t="s">
        <v>24</v>
      </c>
      <c r="B104" s="10" t="s">
        <v>107</v>
      </c>
      <c r="C104" s="30">
        <f>(((C36+C79+C91)/30)*2.4723)/12</f>
        <v>16.072064505008083</v>
      </c>
    </row>
    <row r="105" spans="1:3" ht="16.2" thickBot="1" x14ac:dyDescent="0.35">
      <c r="A105" s="9" t="s">
        <v>26</v>
      </c>
      <c r="B105" s="10" t="s">
        <v>108</v>
      </c>
      <c r="C105" s="30"/>
    </row>
    <row r="106" spans="1:3" ht="16.2" thickBot="1" x14ac:dyDescent="0.35">
      <c r="A106" s="82" t="s">
        <v>45</v>
      </c>
      <c r="B106" s="83"/>
      <c r="C106" s="30">
        <f>SUM(C100:C105)</f>
        <v>189.758665408035</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189.758665408035</v>
      </c>
    </row>
    <row r="120" spans="1:5" ht="16.2" thickBot="1" x14ac:dyDescent="0.35">
      <c r="A120" s="9" t="s">
        <v>62</v>
      </c>
      <c r="B120" s="10" t="s">
        <v>113</v>
      </c>
      <c r="C120" s="30">
        <f>C113</f>
        <v>0</v>
      </c>
    </row>
    <row r="121" spans="1:5" ht="16.2" thickBot="1" x14ac:dyDescent="0.35">
      <c r="A121" s="82" t="s">
        <v>2</v>
      </c>
      <c r="B121" s="83"/>
      <c r="C121" s="30">
        <f>SUM(C119:C120)</f>
        <v>189.758665408035</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184</v>
      </c>
      <c r="C128" s="64">
        <v>4</v>
      </c>
      <c r="D128" s="64">
        <v>20.67</v>
      </c>
      <c r="E128" s="6">
        <f>C128*D128</f>
        <v>82.68</v>
      </c>
    </row>
    <row r="129" spans="1:5" ht="16.2" thickBot="1" x14ac:dyDescent="0.35">
      <c r="A129" s="61">
        <v>2</v>
      </c>
      <c r="B129" s="36" t="s">
        <v>185</v>
      </c>
      <c r="C129" s="66">
        <v>2</v>
      </c>
      <c r="D129" s="66">
        <v>38.83</v>
      </c>
      <c r="E129" s="6">
        <f t="shared" ref="E129:E133" si="1">C129*D129</f>
        <v>77.66</v>
      </c>
    </row>
    <row r="130" spans="1:5" ht="16.2" thickBot="1" x14ac:dyDescent="0.35">
      <c r="A130" s="61">
        <v>3</v>
      </c>
      <c r="B130" s="36" t="s">
        <v>186</v>
      </c>
      <c r="C130" s="66">
        <v>2</v>
      </c>
      <c r="D130" s="66">
        <v>12.61</v>
      </c>
      <c r="E130" s="6">
        <f t="shared" si="1"/>
        <v>25.22</v>
      </c>
    </row>
    <row r="131" spans="1:5" ht="16.2" thickBot="1" x14ac:dyDescent="0.35">
      <c r="A131" s="61">
        <v>4</v>
      </c>
      <c r="B131" s="36" t="s">
        <v>187</v>
      </c>
      <c r="C131" s="66">
        <v>2</v>
      </c>
      <c r="D131" s="66">
        <v>11.37</v>
      </c>
      <c r="E131" s="6">
        <f t="shared" si="1"/>
        <v>22.74</v>
      </c>
    </row>
    <row r="132" spans="1:5" ht="30" customHeight="1" thickBot="1" x14ac:dyDescent="0.35">
      <c r="A132" s="61">
        <v>5</v>
      </c>
      <c r="B132" s="36" t="s">
        <v>188</v>
      </c>
      <c r="C132" s="66">
        <v>1</v>
      </c>
      <c r="D132" s="66">
        <v>53.06</v>
      </c>
      <c r="E132" s="6">
        <f t="shared" si="1"/>
        <v>53.06</v>
      </c>
    </row>
    <row r="133" spans="1:5" ht="16.2" thickBot="1" x14ac:dyDescent="0.35">
      <c r="A133" s="61">
        <v>6</v>
      </c>
      <c r="B133" s="36" t="s">
        <v>189</v>
      </c>
      <c r="C133" s="66">
        <v>4</v>
      </c>
      <c r="D133" s="66">
        <v>15</v>
      </c>
      <c r="E133" s="6">
        <f t="shared" si="1"/>
        <v>60</v>
      </c>
    </row>
    <row r="134" spans="1:5" ht="16.2" thickBot="1" x14ac:dyDescent="0.35">
      <c r="A134" s="87" t="s">
        <v>114</v>
      </c>
      <c r="B134" s="88"/>
      <c r="C134" s="5"/>
      <c r="D134" s="5"/>
      <c r="E134" s="37">
        <f>SUM(E128:E133)</f>
        <v>321.36</v>
      </c>
    </row>
    <row r="135" spans="1:5" ht="16.2" thickBot="1" x14ac:dyDescent="0.35">
      <c r="A135" s="87" t="s">
        <v>115</v>
      </c>
      <c r="B135" s="88"/>
      <c r="C135" s="5"/>
      <c r="D135" s="5"/>
      <c r="E135" s="37">
        <f>E134/12</f>
        <v>26.78</v>
      </c>
    </row>
    <row r="136" spans="1:5" ht="16.2" thickBot="1" x14ac:dyDescent="0.35">
      <c r="A136" s="59"/>
      <c r="B136" s="59"/>
      <c r="C136" s="59"/>
    </row>
    <row r="137" spans="1:5" ht="16.2" thickBot="1" x14ac:dyDescent="0.35">
      <c r="A137" s="7">
        <v>5</v>
      </c>
      <c r="B137" s="14" t="s">
        <v>6</v>
      </c>
      <c r="C137" s="8" t="s">
        <v>16</v>
      </c>
    </row>
    <row r="138" spans="1:5" ht="16.2" thickBot="1" x14ac:dyDescent="0.35">
      <c r="A138" s="9" t="s">
        <v>17</v>
      </c>
      <c r="B138" s="10" t="s">
        <v>66</v>
      </c>
      <c r="C138" s="30">
        <f>E135</f>
        <v>26.78</v>
      </c>
    </row>
    <row r="139" spans="1:5" ht="16.2" thickBot="1" x14ac:dyDescent="0.35">
      <c r="A139" s="9" t="s">
        <v>19</v>
      </c>
      <c r="B139" s="10" t="s">
        <v>67</v>
      </c>
      <c r="C139" s="30">
        <f>'Materiais Uso Coletivo'!G7</f>
        <v>0.48458333333333337</v>
      </c>
    </row>
    <row r="140" spans="1:5" ht="16.2" thickBot="1" x14ac:dyDescent="0.35">
      <c r="A140" s="9" t="s">
        <v>21</v>
      </c>
      <c r="B140" s="10" t="s">
        <v>68</v>
      </c>
      <c r="C140" s="30">
        <v>0</v>
      </c>
    </row>
    <row r="141" spans="1:5" ht="16.2" thickBot="1" x14ac:dyDescent="0.35">
      <c r="A141" s="9" t="s">
        <v>23</v>
      </c>
      <c r="B141" s="10" t="s">
        <v>28</v>
      </c>
      <c r="C141" s="30"/>
    </row>
    <row r="142" spans="1:5" ht="16.2" thickBot="1" x14ac:dyDescent="0.35">
      <c r="A142" s="82" t="s">
        <v>45</v>
      </c>
      <c r="B142" s="83"/>
      <c r="C142" s="30">
        <f>SUM(C138:C141)</f>
        <v>27.264583333333334</v>
      </c>
    </row>
    <row r="145" spans="1:5" x14ac:dyDescent="0.3">
      <c r="A145" s="81" t="s">
        <v>69</v>
      </c>
      <c r="B145" s="81"/>
      <c r="C145" s="81"/>
    </row>
    <row r="146" spans="1:5" ht="16.2" thickBot="1" x14ac:dyDescent="0.35"/>
    <row r="147" spans="1:5" ht="16.2" thickBot="1" x14ac:dyDescent="0.35">
      <c r="A147" s="7">
        <v>6</v>
      </c>
      <c r="B147" s="14" t="s">
        <v>7</v>
      </c>
      <c r="C147" s="8" t="s">
        <v>38</v>
      </c>
      <c r="D147" s="8" t="s">
        <v>16</v>
      </c>
    </row>
    <row r="148" spans="1:5" ht="16.2" thickBot="1" x14ac:dyDescent="0.35">
      <c r="A148" s="9" t="s">
        <v>17</v>
      </c>
      <c r="B148" s="10" t="s">
        <v>8</v>
      </c>
      <c r="C148" s="42">
        <v>0.03</v>
      </c>
      <c r="D148" s="40">
        <f>C165*C148</f>
        <v>76.719934469921057</v>
      </c>
    </row>
    <row r="149" spans="1:5" ht="16.2" thickBot="1" x14ac:dyDescent="0.35">
      <c r="A149" s="9" t="s">
        <v>19</v>
      </c>
      <c r="B149" s="10" t="s">
        <v>10</v>
      </c>
      <c r="C149" s="42">
        <v>6.7900000000000002E-2</v>
      </c>
      <c r="D149" s="40">
        <f>(C165+D148)*C149</f>
        <v>178.85206856742897</v>
      </c>
    </row>
    <row r="150" spans="1:5" ht="16.2" thickBot="1" x14ac:dyDescent="0.35">
      <c r="A150" s="9" t="s">
        <v>21</v>
      </c>
      <c r="B150" s="10" t="s">
        <v>9</v>
      </c>
      <c r="C150" s="38">
        <v>0.14249999999999999</v>
      </c>
      <c r="D150" s="41"/>
      <c r="E150" s="31">
        <f>(C165+D148+D149)/(1-C150)</f>
        <v>3280.3535300696421</v>
      </c>
    </row>
    <row r="151" spans="1:5" ht="16.2" thickBot="1" x14ac:dyDescent="0.35">
      <c r="A151" s="9"/>
      <c r="B151" s="10" t="s">
        <v>117</v>
      </c>
      <c r="C151" s="42">
        <v>1.6500000000000001E-2</v>
      </c>
      <c r="D151" s="40">
        <f>$E$150*C151</f>
        <v>54.125833246149099</v>
      </c>
    </row>
    <row r="152" spans="1:5" ht="16.2" thickBot="1" x14ac:dyDescent="0.35">
      <c r="A152" s="9"/>
      <c r="B152" s="10" t="s">
        <v>118</v>
      </c>
      <c r="C152" s="42">
        <v>7.5999999999999998E-2</v>
      </c>
      <c r="D152" s="40">
        <f>$E$150*C152</f>
        <v>249.30686828529281</v>
      </c>
    </row>
    <row r="153" spans="1:5" ht="16.2" thickBot="1" x14ac:dyDescent="0.35">
      <c r="A153" s="9"/>
      <c r="B153" s="10" t="s">
        <v>116</v>
      </c>
      <c r="C153" s="42">
        <v>0.05</v>
      </c>
      <c r="D153" s="40">
        <f t="shared" ref="D153" si="2">$E$150*C153</f>
        <v>164.01767650348211</v>
      </c>
    </row>
    <row r="154" spans="1:5" ht="16.2" thickBot="1" x14ac:dyDescent="0.35">
      <c r="A154" s="82" t="s">
        <v>45</v>
      </c>
      <c r="B154" s="83"/>
      <c r="C154" s="12">
        <v>0.30449999999999999</v>
      </c>
      <c r="D154" s="40">
        <f>SUM(D148:D153)</f>
        <v>723.02238107227413</v>
      </c>
      <c r="E154" s="31"/>
    </row>
    <row r="155" spans="1:5" x14ac:dyDescent="0.3">
      <c r="D155" s="31"/>
    </row>
    <row r="157" spans="1:5" x14ac:dyDescent="0.3">
      <c r="A157" s="81" t="s">
        <v>70</v>
      </c>
      <c r="B157" s="81"/>
      <c r="C157" s="81"/>
    </row>
    <row r="158" spans="1:5" ht="16.2" thickBot="1" x14ac:dyDescent="0.35"/>
    <row r="159" spans="1:5" ht="16.2" thickBot="1" x14ac:dyDescent="0.35">
      <c r="A159" s="7"/>
      <c r="B159" s="8" t="s">
        <v>71</v>
      </c>
      <c r="C159" s="8" t="s">
        <v>16</v>
      </c>
    </row>
    <row r="160" spans="1:5" ht="16.2" thickBot="1" x14ac:dyDescent="0.35">
      <c r="A160" s="16" t="s">
        <v>17</v>
      </c>
      <c r="B160" s="10" t="s">
        <v>14</v>
      </c>
      <c r="C160" s="39">
        <f>C36</f>
        <v>1020</v>
      </c>
    </row>
    <row r="161" spans="1:5" ht="16.2" thickBot="1" x14ac:dyDescent="0.35">
      <c r="A161" s="16" t="s">
        <v>19</v>
      </c>
      <c r="B161" s="10" t="s">
        <v>29</v>
      </c>
      <c r="C161" s="39">
        <f>C79</f>
        <v>1077.2800000000002</v>
      </c>
    </row>
    <row r="162" spans="1:5" ht="16.2" thickBot="1" x14ac:dyDescent="0.35">
      <c r="A162" s="16" t="s">
        <v>21</v>
      </c>
      <c r="B162" s="10" t="s">
        <v>53</v>
      </c>
      <c r="C162" s="39">
        <f>C91</f>
        <v>243.02790025600001</v>
      </c>
    </row>
    <row r="163" spans="1:5" ht="16.2" thickBot="1" x14ac:dyDescent="0.35">
      <c r="A163" s="16" t="s">
        <v>23</v>
      </c>
      <c r="B163" s="10" t="s">
        <v>60</v>
      </c>
      <c r="C163" s="39">
        <f>C121</f>
        <v>189.758665408035</v>
      </c>
    </row>
    <row r="164" spans="1:5" ht="16.2" thickBot="1" x14ac:dyDescent="0.35">
      <c r="A164" s="16" t="s">
        <v>24</v>
      </c>
      <c r="B164" s="10" t="s">
        <v>65</v>
      </c>
      <c r="C164" s="39">
        <f>C142</f>
        <v>27.264583333333334</v>
      </c>
    </row>
    <row r="165" spans="1:5" ht="16.2" thickBot="1" x14ac:dyDescent="0.35">
      <c r="A165" s="82" t="s">
        <v>72</v>
      </c>
      <c r="B165" s="83"/>
      <c r="C165" s="39">
        <f>SUM(C160:C164)</f>
        <v>2557.3311489973685</v>
      </c>
    </row>
    <row r="166" spans="1:5" ht="16.2" thickBot="1" x14ac:dyDescent="0.35">
      <c r="A166" s="16" t="s">
        <v>26</v>
      </c>
      <c r="B166" s="10" t="s">
        <v>73</v>
      </c>
      <c r="C166" s="39">
        <f>D154</f>
        <v>723.02238107227413</v>
      </c>
    </row>
    <row r="167" spans="1:5" ht="16.2" thickBot="1" x14ac:dyDescent="0.35">
      <c r="A167" s="82" t="s">
        <v>74</v>
      </c>
      <c r="B167" s="83"/>
      <c r="C167" s="39">
        <f>C165+C166</f>
        <v>3280.3535300696426</v>
      </c>
    </row>
    <row r="170" spans="1:5" x14ac:dyDescent="0.3">
      <c r="A170" t="s">
        <v>319</v>
      </c>
      <c r="B170"/>
      <c r="C170"/>
      <c r="D170"/>
      <c r="E170"/>
    </row>
    <row r="171" spans="1:5" x14ac:dyDescent="0.3">
      <c r="A171"/>
      <c r="B171"/>
      <c r="C171"/>
      <c r="D171"/>
      <c r="E171"/>
    </row>
    <row r="172" spans="1:5" x14ac:dyDescent="0.3">
      <c r="A172" s="48"/>
      <c r="B172" s="48" t="s">
        <v>120</v>
      </c>
      <c r="C172" s="49"/>
      <c r="D172" s="50"/>
    </row>
    <row r="173" spans="1:5" x14ac:dyDescent="0.3">
      <c r="A173" s="51"/>
      <c r="B173" s="51" t="s">
        <v>121</v>
      </c>
      <c r="C173" s="50"/>
      <c r="D173" s="50"/>
    </row>
    <row r="174" spans="1:5" x14ac:dyDescent="0.3">
      <c r="B174" s="15" t="s">
        <v>144</v>
      </c>
      <c r="C174" s="50"/>
      <c r="D174" s="50"/>
    </row>
    <row r="175" spans="1:5" x14ac:dyDescent="0.3">
      <c r="A175" s="3"/>
      <c r="B175" s="51" t="s">
        <v>123</v>
      </c>
      <c r="C175" s="50"/>
      <c r="D175" s="50"/>
    </row>
    <row r="176" spans="1:5" x14ac:dyDescent="0.3">
      <c r="A176" s="1"/>
      <c r="B176" s="1" t="s">
        <v>124</v>
      </c>
      <c r="C176" s="1"/>
      <c r="D176" s="50"/>
    </row>
    <row r="178" spans="2:2" x14ac:dyDescent="0.3">
      <c r="B178" s="48" t="s">
        <v>120</v>
      </c>
    </row>
    <row r="179" spans="2:2" x14ac:dyDescent="0.3">
      <c r="B179" s="51" t="s">
        <v>121</v>
      </c>
    </row>
    <row r="180" spans="2:2" x14ac:dyDescent="0.3">
      <c r="B180" s="15" t="s">
        <v>122</v>
      </c>
    </row>
    <row r="181" spans="2:2" x14ac:dyDescent="0.3">
      <c r="B181" s="51" t="s">
        <v>142</v>
      </c>
    </row>
    <row r="182" spans="2:2" x14ac:dyDescent="0.3">
      <c r="B182" s="1" t="s">
        <v>143</v>
      </c>
    </row>
  </sheetData>
  <mergeCells count="47">
    <mergeCell ref="C10:E10"/>
    <mergeCell ref="A1:D1"/>
    <mergeCell ref="A2:D2"/>
    <mergeCell ref="A3:D3"/>
    <mergeCell ref="A8:E8"/>
    <mergeCell ref="C9:E9"/>
    <mergeCell ref="A27:C27"/>
    <mergeCell ref="C11:E11"/>
    <mergeCell ref="C12:E12"/>
    <mergeCell ref="A14:C14"/>
    <mergeCell ref="C15:E15"/>
    <mergeCell ref="C16:D16"/>
    <mergeCell ref="A18:E18"/>
    <mergeCell ref="A19:E19"/>
    <mergeCell ref="C20:E20"/>
    <mergeCell ref="C21:E21"/>
    <mergeCell ref="C22:E22"/>
    <mergeCell ref="C23:E23"/>
    <mergeCell ref="A91:B91"/>
    <mergeCell ref="A36:B36"/>
    <mergeCell ref="A39:C39"/>
    <mergeCell ref="A41:C41"/>
    <mergeCell ref="A46:B46"/>
    <mergeCell ref="A49:D49"/>
    <mergeCell ref="A60:B60"/>
    <mergeCell ref="A63:C63"/>
    <mergeCell ref="A70:B70"/>
    <mergeCell ref="A73:C73"/>
    <mergeCell ref="A79:B79"/>
    <mergeCell ref="A82:C82"/>
    <mergeCell ref="A142:B142"/>
    <mergeCell ref="A94:C94"/>
    <mergeCell ref="A97:C97"/>
    <mergeCell ref="A106:B106"/>
    <mergeCell ref="A109:C109"/>
    <mergeCell ref="A113:B113"/>
    <mergeCell ref="A116:C116"/>
    <mergeCell ref="A121:B121"/>
    <mergeCell ref="A124:C124"/>
    <mergeCell ref="A126:E126"/>
    <mergeCell ref="A134:B134"/>
    <mergeCell ref="A135:B135"/>
    <mergeCell ref="A145:C145"/>
    <mergeCell ref="A154:B154"/>
    <mergeCell ref="A157:C157"/>
    <mergeCell ref="A165:B165"/>
    <mergeCell ref="A167:B167"/>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9CBF-6DD6-4918-8198-FE37E159FA05}">
  <dimension ref="A1:E181"/>
  <sheetViews>
    <sheetView showGridLines="0" zoomScale="115" zoomScaleNormal="115" workbookViewId="0">
      <selection sqref="A1:E181"/>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190</v>
      </c>
      <c r="D16" s="90"/>
      <c r="E16" s="27">
        <v>1</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1110.6600000000001</v>
      </c>
      <c r="D21" s="94"/>
      <c r="E21" s="94"/>
    </row>
    <row r="22" spans="1:5" x14ac:dyDescent="0.3">
      <c r="A22" s="22">
        <v>3</v>
      </c>
      <c r="B22" s="29" t="s">
        <v>97</v>
      </c>
      <c r="C22" s="95" t="s">
        <v>191</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1110.6600000000001</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1110.6600000000001</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92.555000000000007</v>
      </c>
    </row>
    <row r="45" spans="1:3" ht="16.2" thickBot="1" x14ac:dyDescent="0.35">
      <c r="A45" s="9" t="s">
        <v>19</v>
      </c>
      <c r="B45" s="10" t="s">
        <v>34</v>
      </c>
      <c r="C45" s="30">
        <f>C36*(1/12)+C36*(1/3)*(1/12)</f>
        <v>123.40666666666667</v>
      </c>
    </row>
    <row r="46" spans="1:3" ht="16.2" thickBot="1" x14ac:dyDescent="0.35">
      <c r="A46" s="82" t="s">
        <v>2</v>
      </c>
      <c r="B46" s="83"/>
      <c r="C46" s="30">
        <f>SUM(C44:C45)</f>
        <v>215.96166666666667</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265.32433333333336</v>
      </c>
    </row>
    <row r="53" spans="1:4" ht="16.2" thickBot="1" x14ac:dyDescent="0.35">
      <c r="A53" s="9" t="s">
        <v>19</v>
      </c>
      <c r="B53" s="10" t="s">
        <v>40</v>
      </c>
      <c r="C53" s="12">
        <v>2.5000000000000001E-2</v>
      </c>
      <c r="D53" s="30">
        <f t="shared" ref="D53:D60" si="0">($C$36+$C$46)*C53</f>
        <v>33.16554166666667</v>
      </c>
    </row>
    <row r="54" spans="1:4" ht="16.2" thickBot="1" x14ac:dyDescent="0.35">
      <c r="A54" s="9" t="s">
        <v>21</v>
      </c>
      <c r="B54" s="10" t="s">
        <v>41</v>
      </c>
      <c r="C54" s="12">
        <v>0.03</v>
      </c>
      <c r="D54" s="30">
        <f t="shared" si="0"/>
        <v>39.798650000000002</v>
      </c>
    </row>
    <row r="55" spans="1:4" ht="16.2" thickBot="1" x14ac:dyDescent="0.35">
      <c r="A55" s="9" t="s">
        <v>23</v>
      </c>
      <c r="B55" s="10" t="s">
        <v>42</v>
      </c>
      <c r="C55" s="12">
        <v>1.4999999999999999E-2</v>
      </c>
      <c r="D55" s="30">
        <f t="shared" si="0"/>
        <v>19.899325000000001</v>
      </c>
    </row>
    <row r="56" spans="1:4" ht="16.2" thickBot="1" x14ac:dyDescent="0.35">
      <c r="A56" s="9" t="s">
        <v>24</v>
      </c>
      <c r="B56" s="10" t="s">
        <v>43</v>
      </c>
      <c r="C56" s="12">
        <v>0.01</v>
      </c>
      <c r="D56" s="30">
        <f t="shared" si="0"/>
        <v>13.266216666666667</v>
      </c>
    </row>
    <row r="57" spans="1:4" ht="16.2" thickBot="1" x14ac:dyDescent="0.35">
      <c r="A57" s="9" t="s">
        <v>26</v>
      </c>
      <c r="B57" s="10" t="s">
        <v>3</v>
      </c>
      <c r="C57" s="12">
        <v>6.0000000000000001E-3</v>
      </c>
      <c r="D57" s="30">
        <f t="shared" si="0"/>
        <v>7.9597300000000004</v>
      </c>
    </row>
    <row r="58" spans="1:4" ht="16.2" thickBot="1" x14ac:dyDescent="0.35">
      <c r="A58" s="9" t="s">
        <v>27</v>
      </c>
      <c r="B58" s="10" t="s">
        <v>4</v>
      </c>
      <c r="C58" s="12">
        <v>2E-3</v>
      </c>
      <c r="D58" s="30">
        <f t="shared" si="0"/>
        <v>2.6532433333333332</v>
      </c>
    </row>
    <row r="59" spans="1:4" ht="16.2" thickBot="1" x14ac:dyDescent="0.35">
      <c r="A59" s="9" t="s">
        <v>44</v>
      </c>
      <c r="B59" s="10" t="s">
        <v>5</v>
      </c>
      <c r="C59" s="12">
        <v>0.08</v>
      </c>
      <c r="D59" s="30">
        <f t="shared" si="0"/>
        <v>106.12973333333333</v>
      </c>
    </row>
    <row r="60" spans="1:4" ht="16.2" thickBot="1" x14ac:dyDescent="0.35">
      <c r="A60" s="82" t="s">
        <v>45</v>
      </c>
      <c r="B60" s="83"/>
      <c r="C60" s="12">
        <f>SUM(C52:C59)</f>
        <v>0.36800000000000005</v>
      </c>
      <c r="D60" s="30">
        <f t="shared" si="0"/>
        <v>488.1967733333334</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100.56039999999999</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425.16039999999998</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215.96166666666667</v>
      </c>
    </row>
    <row r="77" spans="1:3" ht="16.2" thickBot="1" x14ac:dyDescent="0.35">
      <c r="A77" s="9" t="s">
        <v>36</v>
      </c>
      <c r="B77" s="10" t="s">
        <v>37</v>
      </c>
      <c r="C77" s="30">
        <f>D60</f>
        <v>488.1967733333334</v>
      </c>
    </row>
    <row r="78" spans="1:3" ht="16.2" thickBot="1" x14ac:dyDescent="0.35">
      <c r="A78" s="9" t="s">
        <v>47</v>
      </c>
      <c r="B78" s="10" t="s">
        <v>48</v>
      </c>
      <c r="C78" s="30">
        <f>C70</f>
        <v>425.16039999999998</v>
      </c>
    </row>
    <row r="79" spans="1:3" ht="16.2" thickBot="1" x14ac:dyDescent="0.35">
      <c r="A79" s="82" t="s">
        <v>2</v>
      </c>
      <c r="B79" s="83"/>
      <c r="C79" s="30">
        <f>SUM(C76:C78)</f>
        <v>1129.3188399999999</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64.91853481166666</v>
      </c>
    </row>
    <row r="86" spans="1:4" ht="16.2" thickBot="1" x14ac:dyDescent="0.35">
      <c r="A86" s="9" t="s">
        <v>19</v>
      </c>
      <c r="B86" s="13" t="s">
        <v>56</v>
      </c>
      <c r="C86" s="30">
        <f>C85*8%</f>
        <v>5.1934827849333329</v>
      </c>
    </row>
    <row r="87" spans="1:4" ht="16.2" thickBot="1" x14ac:dyDescent="0.35">
      <c r="A87" s="9" t="s">
        <v>21</v>
      </c>
      <c r="B87" s="13" t="s">
        <v>57</v>
      </c>
      <c r="C87" s="30">
        <f>($C$36+$C$46+$D$59+$C$70)*(50%*(40%+10%)*8%)</f>
        <v>37.158236000000002</v>
      </c>
      <c r="D87" s="31"/>
    </row>
    <row r="88" spans="1:4" ht="16.2" thickBot="1" x14ac:dyDescent="0.35">
      <c r="A88" s="9" t="s">
        <v>23</v>
      </c>
      <c r="B88" s="13" t="s">
        <v>58</v>
      </c>
      <c r="C88" s="30">
        <f>($C$36+$C$79)*(41.93%*(1/12))</f>
        <v>78.268593967666646</v>
      </c>
    </row>
    <row r="89" spans="1:4" ht="31.8" thickBot="1" x14ac:dyDescent="0.35">
      <c r="A89" s="9" t="s">
        <v>24</v>
      </c>
      <c r="B89" s="13" t="s">
        <v>102</v>
      </c>
      <c r="C89" s="30">
        <f>$C$60*$C$88</f>
        <v>28.802842580101331</v>
      </c>
    </row>
    <row r="90" spans="1:4" ht="16.2" thickBot="1" x14ac:dyDescent="0.35">
      <c r="A90" s="9" t="s">
        <v>26</v>
      </c>
      <c r="B90" s="13" t="s">
        <v>59</v>
      </c>
      <c r="C90" s="30">
        <f>($C$36+$C$79)*(50%*(40%+10%)*8%)</f>
        <v>44.799576799999997</v>
      </c>
      <c r="D90" s="31"/>
    </row>
    <row r="91" spans="1:4" ht="16.2" thickBot="1" x14ac:dyDescent="0.35">
      <c r="A91" s="82" t="s">
        <v>2</v>
      </c>
      <c r="B91" s="83"/>
      <c r="C91" s="30">
        <f>SUM(C85:C90)</f>
        <v>259.14126694436794</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143.78479275295507</v>
      </c>
    </row>
    <row r="101" spans="1:3" ht="16.2" thickBot="1" x14ac:dyDescent="0.35">
      <c r="A101" s="9" t="s">
        <v>19</v>
      </c>
      <c r="B101" s="10" t="s">
        <v>104</v>
      </c>
      <c r="C101" s="30">
        <f>(((C36+C79+C91)/30)*(1+3.4521+0.3044+0.0427+0.037+0.02+0.004+0.001))/12</f>
        <v>33.746451844105444</v>
      </c>
    </row>
    <row r="102" spans="1:3" ht="16.2" thickBot="1" x14ac:dyDescent="0.35">
      <c r="A102" s="9" t="s">
        <v>21</v>
      </c>
      <c r="B102" s="10" t="s">
        <v>105</v>
      </c>
      <c r="C102" s="30">
        <f>(((C36+C79+C91)/30)*0.1892)/12</f>
        <v>1.3134264562052067</v>
      </c>
    </row>
    <row r="103" spans="1:3" ht="16.2" thickBot="1" x14ac:dyDescent="0.35">
      <c r="A103" s="9" t="s">
        <v>23</v>
      </c>
      <c r="B103" s="10" t="s">
        <v>106</v>
      </c>
      <c r="C103" s="30">
        <f>(((C36+C79+C91)/30)*0.9548)/12</f>
        <v>6.6282218836402294</v>
      </c>
    </row>
    <row r="104" spans="1:3" ht="16.2" thickBot="1" x14ac:dyDescent="0.35">
      <c r="A104" s="9" t="s">
        <v>24</v>
      </c>
      <c r="B104" s="10" t="s">
        <v>107</v>
      </c>
      <c r="C104" s="30">
        <f>(((C36+C79+C91)/30)*2.4723)/12</f>
        <v>17.162707334440448</v>
      </c>
    </row>
    <row r="105" spans="1:3" ht="16.2" thickBot="1" x14ac:dyDescent="0.35">
      <c r="A105" s="9" t="s">
        <v>26</v>
      </c>
      <c r="B105" s="10" t="s">
        <v>108</v>
      </c>
      <c r="C105" s="30"/>
    </row>
    <row r="106" spans="1:3" ht="16.2" thickBot="1" x14ac:dyDescent="0.35">
      <c r="A106" s="82" t="s">
        <v>45</v>
      </c>
      <c r="B106" s="83"/>
      <c r="C106" s="30">
        <f>SUM(C100:C105)</f>
        <v>202.63560027134642</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202.63560027134642</v>
      </c>
    </row>
    <row r="120" spans="1:5" ht="16.2" thickBot="1" x14ac:dyDescent="0.35">
      <c r="A120" s="9" t="s">
        <v>62</v>
      </c>
      <c r="B120" s="10" t="s">
        <v>113</v>
      </c>
      <c r="C120" s="30">
        <f>C113</f>
        <v>0</v>
      </c>
    </row>
    <row r="121" spans="1:5" ht="16.2" thickBot="1" x14ac:dyDescent="0.35">
      <c r="A121" s="82" t="s">
        <v>2</v>
      </c>
      <c r="B121" s="83"/>
      <c r="C121" s="30">
        <f>SUM(C119:C120)</f>
        <v>202.63560027134642</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2" si="1">C129*D129</f>
        <v>88.84</v>
      </c>
    </row>
    <row r="130" spans="1:5" ht="16.2" thickBot="1" x14ac:dyDescent="0.35">
      <c r="A130" s="61">
        <v>3</v>
      </c>
      <c r="B130" s="36" t="s">
        <v>149</v>
      </c>
      <c r="C130" s="66">
        <v>4</v>
      </c>
      <c r="D130" s="67">
        <v>15</v>
      </c>
      <c r="E130" s="6">
        <f t="shared" si="1"/>
        <v>60</v>
      </c>
    </row>
    <row r="131" spans="1:5" ht="16.2" thickBot="1" x14ac:dyDescent="0.35">
      <c r="A131" s="61">
        <v>4</v>
      </c>
      <c r="B131" s="36" t="s">
        <v>150</v>
      </c>
      <c r="C131" s="66">
        <v>1</v>
      </c>
      <c r="D131" s="67">
        <v>45.29</v>
      </c>
      <c r="E131" s="6">
        <f t="shared" si="1"/>
        <v>45.29</v>
      </c>
    </row>
    <row r="132" spans="1:5" ht="16.2" thickBot="1" x14ac:dyDescent="0.35">
      <c r="A132" s="61">
        <v>5</v>
      </c>
      <c r="B132" s="36" t="s">
        <v>151</v>
      </c>
      <c r="C132" s="66">
        <v>1</v>
      </c>
      <c r="D132" s="67">
        <v>20.309999999999999</v>
      </c>
      <c r="E132" s="6">
        <f t="shared" si="1"/>
        <v>20.309999999999999</v>
      </c>
    </row>
    <row r="133" spans="1:5" ht="16.2" thickBot="1" x14ac:dyDescent="0.35">
      <c r="A133" s="87" t="s">
        <v>114</v>
      </c>
      <c r="B133" s="88"/>
      <c r="C133" s="5"/>
      <c r="D133" s="5"/>
      <c r="E133" s="37">
        <f>SUM(E128:E132)</f>
        <v>307</v>
      </c>
    </row>
    <row r="134" spans="1:5" ht="16.2" thickBot="1" x14ac:dyDescent="0.35">
      <c r="A134" s="87" t="s">
        <v>115</v>
      </c>
      <c r="B134" s="88"/>
      <c r="C134" s="5"/>
      <c r="D134" s="5"/>
      <c r="E134" s="37">
        <f>E133/12</f>
        <v>25.583333333333332</v>
      </c>
    </row>
    <row r="135" spans="1:5" ht="16.2" thickBot="1" x14ac:dyDescent="0.35">
      <c r="A135" s="59"/>
      <c r="B135" s="59"/>
      <c r="C135" s="59"/>
    </row>
    <row r="136" spans="1:5" ht="16.2" thickBot="1" x14ac:dyDescent="0.35">
      <c r="A136" s="7">
        <v>5</v>
      </c>
      <c r="B136" s="14" t="s">
        <v>6</v>
      </c>
      <c r="C136" s="8" t="s">
        <v>16</v>
      </c>
    </row>
    <row r="137" spans="1:5" ht="16.2" thickBot="1" x14ac:dyDescent="0.35">
      <c r="A137" s="9" t="s">
        <v>17</v>
      </c>
      <c r="B137" s="10" t="s">
        <v>66</v>
      </c>
      <c r="C137" s="30">
        <f>E134</f>
        <v>25.583333333333332</v>
      </c>
    </row>
    <row r="138" spans="1:5" ht="16.2" thickBot="1" x14ac:dyDescent="0.35">
      <c r="A138" s="9" t="s">
        <v>19</v>
      </c>
      <c r="B138" s="10" t="s">
        <v>67</v>
      </c>
      <c r="C138" s="30">
        <f>'Materiais Uso Coletivo'!G7</f>
        <v>0.48458333333333337</v>
      </c>
    </row>
    <row r="139" spans="1:5" ht="16.2" thickBot="1" x14ac:dyDescent="0.35">
      <c r="A139" s="9" t="s">
        <v>21</v>
      </c>
      <c r="B139" s="10" t="s">
        <v>68</v>
      </c>
      <c r="C139" s="30">
        <v>0</v>
      </c>
    </row>
    <row r="140" spans="1:5" ht="16.2" thickBot="1" x14ac:dyDescent="0.35">
      <c r="A140" s="9" t="s">
        <v>23</v>
      </c>
      <c r="B140" s="10" t="s">
        <v>28</v>
      </c>
      <c r="C140" s="30"/>
    </row>
    <row r="141" spans="1:5" ht="16.2" thickBot="1" x14ac:dyDescent="0.35">
      <c r="A141" s="82" t="s">
        <v>45</v>
      </c>
      <c r="B141" s="83"/>
      <c r="C141" s="30">
        <f>SUM(C137:C140)</f>
        <v>26.067916666666665</v>
      </c>
    </row>
    <row r="144" spans="1:5" x14ac:dyDescent="0.3">
      <c r="A144" s="81" t="s">
        <v>69</v>
      </c>
      <c r="B144" s="81"/>
      <c r="C144" s="81"/>
    </row>
    <row r="145" spans="1:5" ht="16.2" thickBot="1" x14ac:dyDescent="0.35"/>
    <row r="146" spans="1:5" ht="16.2" thickBot="1" x14ac:dyDescent="0.35">
      <c r="A146" s="7">
        <v>6</v>
      </c>
      <c r="B146" s="14" t="s">
        <v>7</v>
      </c>
      <c r="C146" s="8" t="s">
        <v>38</v>
      </c>
      <c r="D146" s="8" t="s">
        <v>16</v>
      </c>
    </row>
    <row r="147" spans="1:5" ht="16.2" thickBot="1" x14ac:dyDescent="0.35">
      <c r="A147" s="9" t="s">
        <v>17</v>
      </c>
      <c r="B147" s="10" t="s">
        <v>8</v>
      </c>
      <c r="C147" s="42">
        <v>0.03</v>
      </c>
      <c r="D147" s="40">
        <f>C164*C147</f>
        <v>81.834708716471425</v>
      </c>
    </row>
    <row r="148" spans="1:5" ht="16.2" thickBot="1" x14ac:dyDescent="0.35">
      <c r="A148" s="9" t="s">
        <v>19</v>
      </c>
      <c r="B148" s="10" t="s">
        <v>10</v>
      </c>
      <c r="C148" s="42">
        <v>6.7900000000000002E-2</v>
      </c>
      <c r="D148" s="40">
        <f>(C164+D147)*C148</f>
        <v>190.7758007834621</v>
      </c>
    </row>
    <row r="149" spans="1:5" ht="16.2" thickBot="1" x14ac:dyDescent="0.35">
      <c r="A149" s="9" t="s">
        <v>21</v>
      </c>
      <c r="B149" s="10" t="s">
        <v>9</v>
      </c>
      <c r="C149" s="38">
        <v>0.14249999999999999</v>
      </c>
      <c r="D149" s="41"/>
      <c r="E149" s="31">
        <f>(C164+D147+D148)/(1-C149)</f>
        <v>3499.0485520493467</v>
      </c>
    </row>
    <row r="150" spans="1:5" ht="16.2" thickBot="1" x14ac:dyDescent="0.35">
      <c r="A150" s="9"/>
      <c r="B150" s="10" t="s">
        <v>117</v>
      </c>
      <c r="C150" s="42">
        <v>1.6500000000000001E-2</v>
      </c>
      <c r="D150" s="40">
        <f>$E$149*C150</f>
        <v>57.734301108814222</v>
      </c>
    </row>
    <row r="151" spans="1:5" ht="16.2" thickBot="1" x14ac:dyDescent="0.35">
      <c r="A151" s="9"/>
      <c r="B151" s="10" t="s">
        <v>118</v>
      </c>
      <c r="C151" s="42">
        <v>7.5999999999999998E-2</v>
      </c>
      <c r="D151" s="40">
        <f>$E$149*C151</f>
        <v>265.92768995575034</v>
      </c>
    </row>
    <row r="152" spans="1:5" ht="16.2" thickBot="1" x14ac:dyDescent="0.35">
      <c r="A152" s="9"/>
      <c r="B152" s="10" t="s">
        <v>116</v>
      </c>
      <c r="C152" s="42">
        <v>0.05</v>
      </c>
      <c r="D152" s="40">
        <f t="shared" ref="D152" si="2">$E$149*C152</f>
        <v>174.95242760246734</v>
      </c>
    </row>
    <row r="153" spans="1:5" ht="16.2" thickBot="1" x14ac:dyDescent="0.35">
      <c r="A153" s="82" t="s">
        <v>45</v>
      </c>
      <c r="B153" s="83"/>
      <c r="C153" s="12">
        <v>0.30449999999999999</v>
      </c>
      <c r="D153" s="40">
        <f>SUM(D147:D152)</f>
        <v>771.22492816696547</v>
      </c>
      <c r="E153" s="31"/>
    </row>
    <row r="154" spans="1:5" x14ac:dyDescent="0.3">
      <c r="D154" s="31"/>
    </row>
    <row r="156" spans="1:5" x14ac:dyDescent="0.3">
      <c r="A156" s="81" t="s">
        <v>70</v>
      </c>
      <c r="B156" s="81"/>
      <c r="C156" s="81"/>
    </row>
    <row r="157" spans="1:5" ht="16.2" thickBot="1" x14ac:dyDescent="0.35"/>
    <row r="158" spans="1:5" ht="16.2" thickBot="1" x14ac:dyDescent="0.35">
      <c r="A158" s="7"/>
      <c r="B158" s="8" t="s">
        <v>71</v>
      </c>
      <c r="C158" s="8" t="s">
        <v>16</v>
      </c>
    </row>
    <row r="159" spans="1:5" ht="16.2" thickBot="1" x14ac:dyDescent="0.35">
      <c r="A159" s="16" t="s">
        <v>17</v>
      </c>
      <c r="B159" s="10" t="s">
        <v>14</v>
      </c>
      <c r="C159" s="39">
        <f>C36</f>
        <v>1110.6600000000001</v>
      </c>
    </row>
    <row r="160" spans="1:5" ht="16.2" thickBot="1" x14ac:dyDescent="0.35">
      <c r="A160" s="16" t="s">
        <v>19</v>
      </c>
      <c r="B160" s="10" t="s">
        <v>29</v>
      </c>
      <c r="C160" s="39">
        <f>C79</f>
        <v>1129.3188399999999</v>
      </c>
    </row>
    <row r="161" spans="1:5" ht="16.2" thickBot="1" x14ac:dyDescent="0.35">
      <c r="A161" s="16" t="s">
        <v>21</v>
      </c>
      <c r="B161" s="10" t="s">
        <v>53</v>
      </c>
      <c r="C161" s="39">
        <f>C91</f>
        <v>259.14126694436794</v>
      </c>
    </row>
    <row r="162" spans="1:5" ht="16.2" thickBot="1" x14ac:dyDescent="0.35">
      <c r="A162" s="16" t="s">
        <v>23</v>
      </c>
      <c r="B162" s="10" t="s">
        <v>60</v>
      </c>
      <c r="C162" s="39">
        <f>C121</f>
        <v>202.63560027134642</v>
      </c>
    </row>
    <row r="163" spans="1:5" ht="16.2" thickBot="1" x14ac:dyDescent="0.35">
      <c r="A163" s="16" t="s">
        <v>24</v>
      </c>
      <c r="B163" s="10" t="s">
        <v>65</v>
      </c>
      <c r="C163" s="39">
        <f>C141</f>
        <v>26.067916666666665</v>
      </c>
    </row>
    <row r="164" spans="1:5" ht="16.2" thickBot="1" x14ac:dyDescent="0.35">
      <c r="A164" s="82" t="s">
        <v>72</v>
      </c>
      <c r="B164" s="83"/>
      <c r="C164" s="39">
        <f>SUM(C159:C163)</f>
        <v>2727.8236238823811</v>
      </c>
    </row>
    <row r="165" spans="1:5" ht="16.2" thickBot="1" x14ac:dyDescent="0.35">
      <c r="A165" s="16" t="s">
        <v>26</v>
      </c>
      <c r="B165" s="10" t="s">
        <v>73</v>
      </c>
      <c r="C165" s="39">
        <f>D153</f>
        <v>771.22492816696547</v>
      </c>
    </row>
    <row r="166" spans="1:5" ht="16.2" thickBot="1" x14ac:dyDescent="0.35">
      <c r="A166" s="82" t="s">
        <v>74</v>
      </c>
      <c r="B166" s="83"/>
      <c r="C166" s="39">
        <f>C164+C165</f>
        <v>3499.0485520493467</v>
      </c>
    </row>
    <row r="169" spans="1:5" x14ac:dyDescent="0.3">
      <c r="A169" t="s">
        <v>319</v>
      </c>
      <c r="B169"/>
      <c r="C169"/>
      <c r="D169"/>
      <c r="E169"/>
    </row>
    <row r="170" spans="1:5" x14ac:dyDescent="0.3">
      <c r="A170"/>
      <c r="B170"/>
      <c r="C170"/>
      <c r="D170"/>
      <c r="E170"/>
    </row>
    <row r="171" spans="1:5" x14ac:dyDescent="0.3">
      <c r="A171" s="48"/>
      <c r="B171" s="48" t="s">
        <v>120</v>
      </c>
      <c r="C171" s="49"/>
      <c r="D171" s="50"/>
    </row>
    <row r="172" spans="1:5" x14ac:dyDescent="0.3">
      <c r="A172" s="51"/>
      <c r="B172" s="51" t="s">
        <v>121</v>
      </c>
      <c r="C172" s="50"/>
      <c r="D172" s="50"/>
    </row>
    <row r="173" spans="1:5" x14ac:dyDescent="0.3">
      <c r="B173" s="15" t="s">
        <v>144</v>
      </c>
      <c r="C173" s="50"/>
      <c r="D173" s="50"/>
    </row>
    <row r="174" spans="1:5" x14ac:dyDescent="0.3">
      <c r="A174" s="3"/>
      <c r="B174" s="51" t="s">
        <v>123</v>
      </c>
      <c r="C174" s="50"/>
      <c r="D174" s="50"/>
    </row>
    <row r="175" spans="1:5" x14ac:dyDescent="0.3">
      <c r="A175" s="1"/>
      <c r="B175" s="1" t="s">
        <v>124</v>
      </c>
      <c r="C175" s="1"/>
      <c r="D175" s="50"/>
    </row>
    <row r="177" spans="2:2" x14ac:dyDescent="0.3">
      <c r="B177" s="48" t="s">
        <v>120</v>
      </c>
    </row>
    <row r="178" spans="2:2" x14ac:dyDescent="0.3">
      <c r="B178" s="51" t="s">
        <v>121</v>
      </c>
    </row>
    <row r="179" spans="2:2" x14ac:dyDescent="0.3">
      <c r="B179" s="15" t="s">
        <v>122</v>
      </c>
    </row>
    <row r="180" spans="2:2" x14ac:dyDescent="0.3">
      <c r="B180" s="51" t="s">
        <v>142</v>
      </c>
    </row>
    <row r="181" spans="2:2" x14ac:dyDescent="0.3">
      <c r="B181" s="1" t="s">
        <v>143</v>
      </c>
    </row>
  </sheetData>
  <mergeCells count="47">
    <mergeCell ref="C10:E10"/>
    <mergeCell ref="A1:D1"/>
    <mergeCell ref="A2:D2"/>
    <mergeCell ref="A3:D3"/>
    <mergeCell ref="A8:E8"/>
    <mergeCell ref="C9:E9"/>
    <mergeCell ref="A27:C27"/>
    <mergeCell ref="C11:E11"/>
    <mergeCell ref="C12:E12"/>
    <mergeCell ref="A14:C14"/>
    <mergeCell ref="C15:E15"/>
    <mergeCell ref="C16:D16"/>
    <mergeCell ref="A18:E18"/>
    <mergeCell ref="A19:E19"/>
    <mergeCell ref="C20:E20"/>
    <mergeCell ref="C21:E21"/>
    <mergeCell ref="C22:E22"/>
    <mergeCell ref="C23:E23"/>
    <mergeCell ref="A91:B91"/>
    <mergeCell ref="A36:B36"/>
    <mergeCell ref="A39:C39"/>
    <mergeCell ref="A41:C41"/>
    <mergeCell ref="A46:B46"/>
    <mergeCell ref="A49:D49"/>
    <mergeCell ref="A60:B60"/>
    <mergeCell ref="A63:C63"/>
    <mergeCell ref="A70:B70"/>
    <mergeCell ref="A73:C73"/>
    <mergeCell ref="A79:B79"/>
    <mergeCell ref="A82:C82"/>
    <mergeCell ref="A141:B141"/>
    <mergeCell ref="A94:C94"/>
    <mergeCell ref="A97:C97"/>
    <mergeCell ref="A106:B106"/>
    <mergeCell ref="A109:C109"/>
    <mergeCell ref="A113:B113"/>
    <mergeCell ref="A116:C116"/>
    <mergeCell ref="A121:B121"/>
    <mergeCell ref="A124:C124"/>
    <mergeCell ref="A126:E126"/>
    <mergeCell ref="A133:B133"/>
    <mergeCell ref="A134:B134"/>
    <mergeCell ref="A144:C144"/>
    <mergeCell ref="A153:B153"/>
    <mergeCell ref="A156:C156"/>
    <mergeCell ref="A164:B164"/>
    <mergeCell ref="A166:B166"/>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7597C-9C59-43C5-9DFA-9036449AECDF}">
  <dimension ref="A1:E182"/>
  <sheetViews>
    <sheetView showGridLines="0" zoomScale="115" zoomScaleNormal="115" workbookViewId="0">
      <selection sqref="A1:E182"/>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194</v>
      </c>
      <c r="D16" s="90"/>
      <c r="E16" s="27">
        <v>1</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1020</v>
      </c>
      <c r="D21" s="94"/>
      <c r="E21" s="94"/>
    </row>
    <row r="22" spans="1:5" x14ac:dyDescent="0.3">
      <c r="A22" s="22">
        <v>3</v>
      </c>
      <c r="B22" s="29" t="s">
        <v>97</v>
      </c>
      <c r="C22" s="95" t="s">
        <v>193</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1020</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1020</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85</v>
      </c>
    </row>
    <row r="45" spans="1:3" ht="16.2" thickBot="1" x14ac:dyDescent="0.35">
      <c r="A45" s="9" t="s">
        <v>19</v>
      </c>
      <c r="B45" s="10" t="s">
        <v>34</v>
      </c>
      <c r="C45" s="30">
        <f>C36*(1/12)+C36*(1/3)*(1/12)</f>
        <v>113.33333333333333</v>
      </c>
    </row>
    <row r="46" spans="1:3" ht="16.2" thickBot="1" x14ac:dyDescent="0.35">
      <c r="A46" s="82" t="s">
        <v>2</v>
      </c>
      <c r="B46" s="83"/>
      <c r="C46" s="30">
        <f>SUM(C44:C45)</f>
        <v>198.33333333333331</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243.66666666666666</v>
      </c>
    </row>
    <row r="53" spans="1:4" ht="16.2" thickBot="1" x14ac:dyDescent="0.35">
      <c r="A53" s="9" t="s">
        <v>19</v>
      </c>
      <c r="B53" s="10" t="s">
        <v>40</v>
      </c>
      <c r="C53" s="12">
        <v>2.5000000000000001E-2</v>
      </c>
      <c r="D53" s="30">
        <f t="shared" ref="D53:D60" si="0">($C$36+$C$46)*C53</f>
        <v>30.458333333333332</v>
      </c>
    </row>
    <row r="54" spans="1:4" ht="16.2" thickBot="1" x14ac:dyDescent="0.35">
      <c r="A54" s="9" t="s">
        <v>21</v>
      </c>
      <c r="B54" s="10" t="s">
        <v>41</v>
      </c>
      <c r="C54" s="12">
        <v>0.03</v>
      </c>
      <c r="D54" s="30">
        <f t="shared" si="0"/>
        <v>36.549999999999997</v>
      </c>
    </row>
    <row r="55" spans="1:4" ht="16.2" thickBot="1" x14ac:dyDescent="0.35">
      <c r="A55" s="9" t="s">
        <v>23</v>
      </c>
      <c r="B55" s="10" t="s">
        <v>42</v>
      </c>
      <c r="C55" s="12">
        <v>1.4999999999999999E-2</v>
      </c>
      <c r="D55" s="30">
        <f t="shared" si="0"/>
        <v>18.274999999999999</v>
      </c>
    </row>
    <row r="56" spans="1:4" ht="16.2" thickBot="1" x14ac:dyDescent="0.35">
      <c r="A56" s="9" t="s">
        <v>24</v>
      </c>
      <c r="B56" s="10" t="s">
        <v>43</v>
      </c>
      <c r="C56" s="12">
        <v>0.01</v>
      </c>
      <c r="D56" s="30">
        <f t="shared" si="0"/>
        <v>12.183333333333334</v>
      </c>
    </row>
    <row r="57" spans="1:4" ht="16.2" thickBot="1" x14ac:dyDescent="0.35">
      <c r="A57" s="9" t="s">
        <v>26</v>
      </c>
      <c r="B57" s="10" t="s">
        <v>3</v>
      </c>
      <c r="C57" s="12">
        <v>6.0000000000000001E-3</v>
      </c>
      <c r="D57" s="30">
        <f t="shared" si="0"/>
        <v>7.31</v>
      </c>
    </row>
    <row r="58" spans="1:4" ht="16.2" thickBot="1" x14ac:dyDescent="0.35">
      <c r="A58" s="9" t="s">
        <v>27</v>
      </c>
      <c r="B58" s="10" t="s">
        <v>4</v>
      </c>
      <c r="C58" s="12">
        <v>2E-3</v>
      </c>
      <c r="D58" s="30">
        <f t="shared" si="0"/>
        <v>2.4366666666666665</v>
      </c>
    </row>
    <row r="59" spans="1:4" ht="16.2" thickBot="1" x14ac:dyDescent="0.35">
      <c r="A59" s="9" t="s">
        <v>44</v>
      </c>
      <c r="B59" s="10" t="s">
        <v>5</v>
      </c>
      <c r="C59" s="12">
        <v>0.08</v>
      </c>
      <c r="D59" s="30">
        <f t="shared" si="0"/>
        <v>97.466666666666669</v>
      </c>
    </row>
    <row r="60" spans="1:4" ht="16.2" thickBot="1" x14ac:dyDescent="0.35">
      <c r="A60" s="82" t="s">
        <v>45</v>
      </c>
      <c r="B60" s="83"/>
      <c r="C60" s="12">
        <f>SUM(C52:C59)</f>
        <v>0.36800000000000005</v>
      </c>
      <c r="D60" s="30">
        <f t="shared" si="0"/>
        <v>448.34666666666669</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106</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430.6</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198.33333333333331</v>
      </c>
    </row>
    <row r="77" spans="1:3" ht="16.2" thickBot="1" x14ac:dyDescent="0.35">
      <c r="A77" s="9" t="s">
        <v>36</v>
      </c>
      <c r="B77" s="10" t="s">
        <v>37</v>
      </c>
      <c r="C77" s="30">
        <f>D60</f>
        <v>448.34666666666669</v>
      </c>
    </row>
    <row r="78" spans="1:3" ht="16.2" thickBot="1" x14ac:dyDescent="0.35">
      <c r="A78" s="9" t="s">
        <v>47</v>
      </c>
      <c r="B78" s="10" t="s">
        <v>48</v>
      </c>
      <c r="C78" s="30">
        <f>C70</f>
        <v>430.6</v>
      </c>
    </row>
    <row r="79" spans="1:3" ht="16.2" thickBot="1" x14ac:dyDescent="0.35">
      <c r="A79" s="82" t="s">
        <v>2</v>
      </c>
      <c r="B79" s="83"/>
      <c r="C79" s="30">
        <f>SUM(C76:C78)</f>
        <v>1077.2800000000002</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61.022126666666665</v>
      </c>
    </row>
    <row r="86" spans="1:4" ht="16.2" thickBot="1" x14ac:dyDescent="0.35">
      <c r="A86" s="9" t="s">
        <v>19</v>
      </c>
      <c r="B86" s="13" t="s">
        <v>56</v>
      </c>
      <c r="C86" s="30">
        <f>C85*8%</f>
        <v>4.8817701333333332</v>
      </c>
    </row>
    <row r="87" spans="1:4" ht="16.2" thickBot="1" x14ac:dyDescent="0.35">
      <c r="A87" s="9" t="s">
        <v>21</v>
      </c>
      <c r="B87" s="13" t="s">
        <v>57</v>
      </c>
      <c r="C87" s="30">
        <f>($C$36+$C$46+$D$59+$C$70)*(50%*(40%+10%)*8%)</f>
        <v>34.928000000000004</v>
      </c>
      <c r="D87" s="31"/>
    </row>
    <row r="88" spans="1:4" ht="16.2" thickBot="1" x14ac:dyDescent="0.35">
      <c r="A88" s="9" t="s">
        <v>23</v>
      </c>
      <c r="B88" s="13" t="s">
        <v>58</v>
      </c>
      <c r="C88" s="30">
        <f>($C$36+$C$79)*(41.93%*(1/12))</f>
        <v>73.28245866666667</v>
      </c>
    </row>
    <row r="89" spans="1:4" ht="31.8" thickBot="1" x14ac:dyDescent="0.35">
      <c r="A89" s="9" t="s">
        <v>24</v>
      </c>
      <c r="B89" s="13" t="s">
        <v>102</v>
      </c>
      <c r="C89" s="30">
        <f>$C$60*$C$88</f>
        <v>26.967944789333337</v>
      </c>
    </row>
    <row r="90" spans="1:4" ht="16.2" thickBot="1" x14ac:dyDescent="0.35">
      <c r="A90" s="9" t="s">
        <v>26</v>
      </c>
      <c r="B90" s="13" t="s">
        <v>59</v>
      </c>
      <c r="C90" s="30">
        <f>($C$36+$C$79)*(50%*(40%+10%)*8%)</f>
        <v>41.945600000000006</v>
      </c>
      <c r="D90" s="31"/>
    </row>
    <row r="91" spans="1:4" ht="16.2" thickBot="1" x14ac:dyDescent="0.35">
      <c r="A91" s="82" t="s">
        <v>2</v>
      </c>
      <c r="B91" s="83"/>
      <c r="C91" s="30">
        <f>SUM(C85:C90)</f>
        <v>243.02790025600001</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134.64766478464543</v>
      </c>
    </row>
    <row r="101" spans="1:3" ht="16.2" thickBot="1" x14ac:dyDescent="0.35">
      <c r="A101" s="9" t="s">
        <v>19</v>
      </c>
      <c r="B101" s="10" t="s">
        <v>104</v>
      </c>
      <c r="C101" s="30">
        <f>(((C36+C79+C91)/30)*(1+3.4521+0.3044+0.0427+0.037+0.02+0.004+0.001))/12</f>
        <v>31.601957679790186</v>
      </c>
    </row>
    <row r="102" spans="1:3" ht="16.2" thickBot="1" x14ac:dyDescent="0.35">
      <c r="A102" s="9" t="s">
        <v>21</v>
      </c>
      <c r="B102" s="10" t="s">
        <v>105</v>
      </c>
      <c r="C102" s="30">
        <f>(((C36+C79+C91)/30)*0.1892)/12</f>
        <v>1.229961818690098</v>
      </c>
    </row>
    <row r="103" spans="1:3" ht="16.2" thickBot="1" x14ac:dyDescent="0.35">
      <c r="A103" s="9" t="s">
        <v>23</v>
      </c>
      <c r="B103" s="10" t="s">
        <v>106</v>
      </c>
      <c r="C103" s="30">
        <f>(((C36+C79+C91)/30)*0.9548)/12</f>
        <v>6.207016619901192</v>
      </c>
    </row>
    <row r="104" spans="1:3" ht="16.2" thickBot="1" x14ac:dyDescent="0.35">
      <c r="A104" s="9" t="s">
        <v>24</v>
      </c>
      <c r="B104" s="10" t="s">
        <v>107</v>
      </c>
      <c r="C104" s="30">
        <f>(((C36+C79+C91)/30)*2.4723)/12</f>
        <v>16.072064505008083</v>
      </c>
    </row>
    <row r="105" spans="1:3" ht="16.2" thickBot="1" x14ac:dyDescent="0.35">
      <c r="A105" s="9" t="s">
        <v>26</v>
      </c>
      <c r="B105" s="10" t="s">
        <v>108</v>
      </c>
      <c r="C105" s="30"/>
    </row>
    <row r="106" spans="1:3" ht="16.2" thickBot="1" x14ac:dyDescent="0.35">
      <c r="A106" s="82" t="s">
        <v>45</v>
      </c>
      <c r="B106" s="83"/>
      <c r="C106" s="30">
        <f>SUM(C100:C105)</f>
        <v>189.758665408035</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189.758665408035</v>
      </c>
    </row>
    <row r="120" spans="1:5" ht="16.2" thickBot="1" x14ac:dyDescent="0.35">
      <c r="A120" s="9" t="s">
        <v>62</v>
      </c>
      <c r="B120" s="10" t="s">
        <v>113</v>
      </c>
      <c r="C120" s="30">
        <f>C113</f>
        <v>0</v>
      </c>
    </row>
    <row r="121" spans="1:5" ht="16.2" thickBot="1" x14ac:dyDescent="0.35">
      <c r="A121" s="82" t="s">
        <v>2</v>
      </c>
      <c r="B121" s="83"/>
      <c r="C121" s="30">
        <f>SUM(C119:C120)</f>
        <v>189.758665408035</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3" si="1">C129*D129</f>
        <v>88.84</v>
      </c>
    </row>
    <row r="130" spans="1:5" ht="16.2" thickBot="1" x14ac:dyDescent="0.35">
      <c r="A130" s="61">
        <v>3</v>
      </c>
      <c r="B130" s="36" t="s">
        <v>149</v>
      </c>
      <c r="C130" s="66">
        <v>4</v>
      </c>
      <c r="D130" s="67">
        <v>15</v>
      </c>
      <c r="E130" s="6">
        <f t="shared" si="1"/>
        <v>60</v>
      </c>
    </row>
    <row r="131" spans="1:5" ht="16.2" thickBot="1" x14ac:dyDescent="0.35">
      <c r="A131" s="61">
        <v>4</v>
      </c>
      <c r="B131" s="36" t="s">
        <v>195</v>
      </c>
      <c r="C131" s="66">
        <v>1</v>
      </c>
      <c r="D131" s="67">
        <v>30.9</v>
      </c>
      <c r="E131" s="6">
        <f t="shared" si="1"/>
        <v>30.9</v>
      </c>
    </row>
    <row r="132" spans="1:5" ht="16.2" thickBot="1" x14ac:dyDescent="0.35">
      <c r="A132" s="61">
        <v>5</v>
      </c>
      <c r="B132" s="36" t="s">
        <v>196</v>
      </c>
      <c r="C132" s="66">
        <v>1</v>
      </c>
      <c r="D132" s="67">
        <v>10.01</v>
      </c>
      <c r="E132" s="6">
        <f t="shared" si="1"/>
        <v>10.01</v>
      </c>
    </row>
    <row r="133" spans="1:5" ht="16.2" thickBot="1" x14ac:dyDescent="0.35">
      <c r="A133" s="61">
        <v>6</v>
      </c>
      <c r="B133" s="36" t="s">
        <v>151</v>
      </c>
      <c r="C133" s="66">
        <v>1</v>
      </c>
      <c r="D133" s="67">
        <v>20.309999999999999</v>
      </c>
      <c r="E133" s="6">
        <f t="shared" si="1"/>
        <v>20.309999999999999</v>
      </c>
    </row>
    <row r="134" spans="1:5" ht="16.2" thickBot="1" x14ac:dyDescent="0.35">
      <c r="A134" s="87" t="s">
        <v>114</v>
      </c>
      <c r="B134" s="88"/>
      <c r="C134" s="5"/>
      <c r="D134" s="5"/>
      <c r="E134" s="37">
        <f>SUM(E128:E133)</f>
        <v>302.62</v>
      </c>
    </row>
    <row r="135" spans="1:5" ht="16.2" thickBot="1" x14ac:dyDescent="0.35">
      <c r="A135" s="87" t="s">
        <v>115</v>
      </c>
      <c r="B135" s="88"/>
      <c r="C135" s="5"/>
      <c r="D135" s="5"/>
      <c r="E135" s="37">
        <f>E134/12</f>
        <v>25.218333333333334</v>
      </c>
    </row>
    <row r="136" spans="1:5" ht="16.2" thickBot="1" x14ac:dyDescent="0.35">
      <c r="A136" s="59"/>
      <c r="B136" s="59"/>
      <c r="C136" s="59"/>
    </row>
    <row r="137" spans="1:5" ht="16.2" thickBot="1" x14ac:dyDescent="0.35">
      <c r="A137" s="7">
        <v>5</v>
      </c>
      <c r="B137" s="14" t="s">
        <v>6</v>
      </c>
      <c r="C137" s="8" t="s">
        <v>16</v>
      </c>
    </row>
    <row r="138" spans="1:5" ht="16.2" thickBot="1" x14ac:dyDescent="0.35">
      <c r="A138" s="9" t="s">
        <v>17</v>
      </c>
      <c r="B138" s="10" t="s">
        <v>66</v>
      </c>
      <c r="C138" s="30">
        <f>E135</f>
        <v>25.218333333333334</v>
      </c>
    </row>
    <row r="139" spans="1:5" ht="16.2" thickBot="1" x14ac:dyDescent="0.35">
      <c r="A139" s="9" t="s">
        <v>19</v>
      </c>
      <c r="B139" s="10" t="s">
        <v>67</v>
      </c>
      <c r="C139" s="30">
        <f>'Materiais Uso Coletivo'!G7</f>
        <v>0.48458333333333337</v>
      </c>
    </row>
    <row r="140" spans="1:5" ht="16.2" thickBot="1" x14ac:dyDescent="0.35">
      <c r="A140" s="9" t="s">
        <v>21</v>
      </c>
      <c r="B140" s="10" t="s">
        <v>68</v>
      </c>
      <c r="C140" s="30">
        <v>0</v>
      </c>
    </row>
    <row r="141" spans="1:5" ht="16.2" thickBot="1" x14ac:dyDescent="0.35">
      <c r="A141" s="9" t="s">
        <v>23</v>
      </c>
      <c r="B141" s="10" t="s">
        <v>28</v>
      </c>
      <c r="C141" s="30"/>
    </row>
    <row r="142" spans="1:5" ht="16.2" thickBot="1" x14ac:dyDescent="0.35">
      <c r="A142" s="82" t="s">
        <v>45</v>
      </c>
      <c r="B142" s="83"/>
      <c r="C142" s="30">
        <f>SUM(C138:C141)</f>
        <v>25.702916666666667</v>
      </c>
    </row>
    <row r="145" spans="1:5" x14ac:dyDescent="0.3">
      <c r="A145" s="81" t="s">
        <v>69</v>
      </c>
      <c r="B145" s="81"/>
      <c r="C145" s="81"/>
    </row>
    <row r="146" spans="1:5" ht="16.2" thickBot="1" x14ac:dyDescent="0.35"/>
    <row r="147" spans="1:5" ht="16.2" thickBot="1" x14ac:dyDescent="0.35">
      <c r="A147" s="7">
        <v>6</v>
      </c>
      <c r="B147" s="14" t="s">
        <v>7</v>
      </c>
      <c r="C147" s="8" t="s">
        <v>38</v>
      </c>
      <c r="D147" s="8" t="s">
        <v>16</v>
      </c>
    </row>
    <row r="148" spans="1:5" ht="16.2" thickBot="1" x14ac:dyDescent="0.35">
      <c r="A148" s="9" t="s">
        <v>17</v>
      </c>
      <c r="B148" s="10" t="s">
        <v>8</v>
      </c>
      <c r="C148" s="42">
        <v>0.03</v>
      </c>
      <c r="D148" s="40">
        <f>C165*C148</f>
        <v>76.673084469921051</v>
      </c>
    </row>
    <row r="149" spans="1:5" ht="16.2" thickBot="1" x14ac:dyDescent="0.35">
      <c r="A149" s="9" t="s">
        <v>19</v>
      </c>
      <c r="B149" s="10" t="s">
        <v>10</v>
      </c>
      <c r="C149" s="42">
        <v>6.7900000000000002E-2</v>
      </c>
      <c r="D149" s="40">
        <f>(C165+D148)*C149</f>
        <v>178.7428502857623</v>
      </c>
    </row>
    <row r="150" spans="1:5" ht="16.2" thickBot="1" x14ac:dyDescent="0.35">
      <c r="A150" s="9" t="s">
        <v>21</v>
      </c>
      <c r="B150" s="10" t="s">
        <v>9</v>
      </c>
      <c r="C150" s="38">
        <v>0.14249999999999999</v>
      </c>
      <c r="D150" s="41"/>
      <c r="E150" s="31">
        <f>(C165+D148+D149)/(1-C150)</f>
        <v>3278.3503406255222</v>
      </c>
    </row>
    <row r="151" spans="1:5" ht="16.2" thickBot="1" x14ac:dyDescent="0.35">
      <c r="A151" s="9"/>
      <c r="B151" s="10" t="s">
        <v>117</v>
      </c>
      <c r="C151" s="42">
        <v>1.6500000000000001E-2</v>
      </c>
      <c r="D151" s="40">
        <f>$E$150*C151</f>
        <v>54.092780620321122</v>
      </c>
    </row>
    <row r="152" spans="1:5" ht="16.2" thickBot="1" x14ac:dyDescent="0.35">
      <c r="A152" s="9"/>
      <c r="B152" s="10" t="s">
        <v>118</v>
      </c>
      <c r="C152" s="42">
        <v>7.5999999999999998E-2</v>
      </c>
      <c r="D152" s="40">
        <f>$E$150*C152</f>
        <v>249.15462588753968</v>
      </c>
    </row>
    <row r="153" spans="1:5" ht="16.2" thickBot="1" x14ac:dyDescent="0.35">
      <c r="A153" s="9"/>
      <c r="B153" s="10" t="s">
        <v>116</v>
      </c>
      <c r="C153" s="42">
        <v>0.05</v>
      </c>
      <c r="D153" s="40">
        <f t="shared" ref="D153" si="2">$E$150*C153</f>
        <v>163.91751703127613</v>
      </c>
    </row>
    <row r="154" spans="1:5" ht="16.2" thickBot="1" x14ac:dyDescent="0.35">
      <c r="A154" s="82" t="s">
        <v>45</v>
      </c>
      <c r="B154" s="83"/>
      <c r="C154" s="12">
        <v>0.30449999999999999</v>
      </c>
      <c r="D154" s="40">
        <f>SUM(D148:D153)</f>
        <v>722.58085829482036</v>
      </c>
      <c r="E154" s="31"/>
    </row>
    <row r="155" spans="1:5" x14ac:dyDescent="0.3">
      <c r="D155" s="31"/>
    </row>
    <row r="157" spans="1:5" x14ac:dyDescent="0.3">
      <c r="A157" s="81" t="s">
        <v>70</v>
      </c>
      <c r="B157" s="81"/>
      <c r="C157" s="81"/>
    </row>
    <row r="158" spans="1:5" ht="16.2" thickBot="1" x14ac:dyDescent="0.35"/>
    <row r="159" spans="1:5" ht="16.2" thickBot="1" x14ac:dyDescent="0.35">
      <c r="A159" s="7"/>
      <c r="B159" s="8" t="s">
        <v>71</v>
      </c>
      <c r="C159" s="8" t="s">
        <v>16</v>
      </c>
    </row>
    <row r="160" spans="1:5" ht="16.2" thickBot="1" x14ac:dyDescent="0.35">
      <c r="A160" s="16" t="s">
        <v>17</v>
      </c>
      <c r="B160" s="10" t="s">
        <v>14</v>
      </c>
      <c r="C160" s="39">
        <f>C36</f>
        <v>1020</v>
      </c>
    </row>
    <row r="161" spans="1:5" ht="16.2" thickBot="1" x14ac:dyDescent="0.35">
      <c r="A161" s="16" t="s">
        <v>19</v>
      </c>
      <c r="B161" s="10" t="s">
        <v>29</v>
      </c>
      <c r="C161" s="39">
        <f>C79</f>
        <v>1077.2800000000002</v>
      </c>
    </row>
    <row r="162" spans="1:5" ht="16.2" thickBot="1" x14ac:dyDescent="0.35">
      <c r="A162" s="16" t="s">
        <v>21</v>
      </c>
      <c r="B162" s="10" t="s">
        <v>53</v>
      </c>
      <c r="C162" s="39">
        <f>C91</f>
        <v>243.02790025600001</v>
      </c>
    </row>
    <row r="163" spans="1:5" ht="16.2" thickBot="1" x14ac:dyDescent="0.35">
      <c r="A163" s="16" t="s">
        <v>23</v>
      </c>
      <c r="B163" s="10" t="s">
        <v>60</v>
      </c>
      <c r="C163" s="39">
        <f>C121</f>
        <v>189.758665408035</v>
      </c>
    </row>
    <row r="164" spans="1:5" ht="16.2" thickBot="1" x14ac:dyDescent="0.35">
      <c r="A164" s="16" t="s">
        <v>24</v>
      </c>
      <c r="B164" s="10" t="s">
        <v>65</v>
      </c>
      <c r="C164" s="39">
        <f>C142</f>
        <v>25.702916666666667</v>
      </c>
    </row>
    <row r="165" spans="1:5" ht="16.2" thickBot="1" x14ac:dyDescent="0.35">
      <c r="A165" s="82" t="s">
        <v>72</v>
      </c>
      <c r="B165" s="83"/>
      <c r="C165" s="39">
        <f>SUM(C160:C164)</f>
        <v>2555.769482330702</v>
      </c>
    </row>
    <row r="166" spans="1:5" ht="16.2" thickBot="1" x14ac:dyDescent="0.35">
      <c r="A166" s="16" t="s">
        <v>26</v>
      </c>
      <c r="B166" s="10" t="s">
        <v>73</v>
      </c>
      <c r="C166" s="39">
        <f>D154</f>
        <v>722.58085829482036</v>
      </c>
    </row>
    <row r="167" spans="1:5" ht="16.2" thickBot="1" x14ac:dyDescent="0.35">
      <c r="A167" s="82" t="s">
        <v>74</v>
      </c>
      <c r="B167" s="83"/>
      <c r="C167" s="39">
        <f>C165+C166</f>
        <v>3278.3503406255222</v>
      </c>
    </row>
    <row r="170" spans="1:5" x14ac:dyDescent="0.3">
      <c r="A170" t="s">
        <v>319</v>
      </c>
      <c r="B170"/>
      <c r="C170"/>
      <c r="D170"/>
      <c r="E170"/>
    </row>
    <row r="171" spans="1:5" x14ac:dyDescent="0.3">
      <c r="A171"/>
      <c r="B171"/>
      <c r="C171"/>
      <c r="D171"/>
      <c r="E171"/>
    </row>
    <row r="172" spans="1:5" x14ac:dyDescent="0.3">
      <c r="A172" s="48"/>
      <c r="B172" s="48" t="s">
        <v>120</v>
      </c>
      <c r="C172" s="49"/>
      <c r="D172" s="50"/>
    </row>
    <row r="173" spans="1:5" x14ac:dyDescent="0.3">
      <c r="A173" s="51"/>
      <c r="B173" s="51" t="s">
        <v>121</v>
      </c>
      <c r="C173" s="50"/>
      <c r="D173" s="50"/>
    </row>
    <row r="174" spans="1:5" x14ac:dyDescent="0.3">
      <c r="B174" s="15" t="s">
        <v>144</v>
      </c>
      <c r="C174" s="50"/>
      <c r="D174" s="50"/>
    </row>
    <row r="175" spans="1:5" x14ac:dyDescent="0.3">
      <c r="A175" s="3"/>
      <c r="B175" s="51" t="s">
        <v>123</v>
      </c>
      <c r="C175" s="50"/>
      <c r="D175" s="50"/>
    </row>
    <row r="176" spans="1:5" x14ac:dyDescent="0.3">
      <c r="A176" s="1"/>
      <c r="B176" s="1" t="s">
        <v>124</v>
      </c>
      <c r="C176" s="1"/>
      <c r="D176" s="50"/>
    </row>
    <row r="178" spans="2:2" x14ac:dyDescent="0.3">
      <c r="B178" s="48" t="s">
        <v>120</v>
      </c>
    </row>
    <row r="179" spans="2:2" x14ac:dyDescent="0.3">
      <c r="B179" s="51" t="s">
        <v>121</v>
      </c>
    </row>
    <row r="180" spans="2:2" x14ac:dyDescent="0.3">
      <c r="B180" s="15" t="s">
        <v>122</v>
      </c>
    </row>
    <row r="181" spans="2:2" x14ac:dyDescent="0.3">
      <c r="B181" s="51" t="s">
        <v>142</v>
      </c>
    </row>
    <row r="182" spans="2:2" x14ac:dyDescent="0.3">
      <c r="B182" s="1" t="s">
        <v>143</v>
      </c>
    </row>
  </sheetData>
  <mergeCells count="47">
    <mergeCell ref="A145:C145"/>
    <mergeCell ref="A154:B154"/>
    <mergeCell ref="A157:C157"/>
    <mergeCell ref="A165:B165"/>
    <mergeCell ref="A167:B167"/>
    <mergeCell ref="A142:B142"/>
    <mergeCell ref="A94:C94"/>
    <mergeCell ref="A97:C97"/>
    <mergeCell ref="A106:B106"/>
    <mergeCell ref="A109:C109"/>
    <mergeCell ref="A113:B113"/>
    <mergeCell ref="A116:C116"/>
    <mergeCell ref="A121:B121"/>
    <mergeCell ref="A124:C124"/>
    <mergeCell ref="A126:E126"/>
    <mergeCell ref="A134:B134"/>
    <mergeCell ref="A135:B135"/>
    <mergeCell ref="A91:B91"/>
    <mergeCell ref="A36:B36"/>
    <mergeCell ref="A39:C39"/>
    <mergeCell ref="A41:C41"/>
    <mergeCell ref="A46:B46"/>
    <mergeCell ref="A49:D49"/>
    <mergeCell ref="A60:B60"/>
    <mergeCell ref="A63:C63"/>
    <mergeCell ref="A70:B70"/>
    <mergeCell ref="A73:C73"/>
    <mergeCell ref="A79:B79"/>
    <mergeCell ref="A82:C82"/>
    <mergeCell ref="A27:C27"/>
    <mergeCell ref="C11:E11"/>
    <mergeCell ref="C12:E12"/>
    <mergeCell ref="A14:C14"/>
    <mergeCell ref="C15:E15"/>
    <mergeCell ref="C16:D16"/>
    <mergeCell ref="A18:E18"/>
    <mergeCell ref="A19:E19"/>
    <mergeCell ref="C20:E20"/>
    <mergeCell ref="C21:E21"/>
    <mergeCell ref="C22:E22"/>
    <mergeCell ref="C23:E23"/>
    <mergeCell ref="C10:E10"/>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822E-C093-40BF-87DF-6C29F7056019}">
  <dimension ref="A1:E185"/>
  <sheetViews>
    <sheetView showGridLines="0" zoomScale="115" zoomScaleNormal="115" workbookViewId="0">
      <selection sqref="A1:E185"/>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108" t="s">
        <v>197</v>
      </c>
      <c r="D16" s="108"/>
      <c r="E16" s="27">
        <v>6</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1020</v>
      </c>
      <c r="D21" s="94"/>
      <c r="E21" s="94"/>
    </row>
    <row r="22" spans="1:5" ht="33" customHeight="1" x14ac:dyDescent="0.3">
      <c r="A22" s="22">
        <v>3</v>
      </c>
      <c r="B22" s="29" t="s">
        <v>97</v>
      </c>
      <c r="C22" s="95" t="s">
        <v>198</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1020</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1020</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85</v>
      </c>
    </row>
    <row r="45" spans="1:3" ht="16.2" thickBot="1" x14ac:dyDescent="0.35">
      <c r="A45" s="9" t="s">
        <v>19</v>
      </c>
      <c r="B45" s="10" t="s">
        <v>34</v>
      </c>
      <c r="C45" s="30">
        <f>C36*(1/12)+C36*(1/3)*(1/12)</f>
        <v>113.33333333333333</v>
      </c>
    </row>
    <row r="46" spans="1:3" ht="16.2" thickBot="1" x14ac:dyDescent="0.35">
      <c r="A46" s="82" t="s">
        <v>2</v>
      </c>
      <c r="B46" s="83"/>
      <c r="C46" s="30">
        <f>SUM(C44:C45)</f>
        <v>198.33333333333331</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243.66666666666666</v>
      </c>
    </row>
    <row r="53" spans="1:4" ht="16.2" thickBot="1" x14ac:dyDescent="0.35">
      <c r="A53" s="9" t="s">
        <v>19</v>
      </c>
      <c r="B53" s="10" t="s">
        <v>40</v>
      </c>
      <c r="C53" s="12">
        <v>2.5000000000000001E-2</v>
      </c>
      <c r="D53" s="30">
        <f t="shared" ref="D53:D60" si="0">($C$36+$C$46)*C53</f>
        <v>30.458333333333332</v>
      </c>
    </row>
    <row r="54" spans="1:4" ht="16.2" thickBot="1" x14ac:dyDescent="0.35">
      <c r="A54" s="9" t="s">
        <v>21</v>
      </c>
      <c r="B54" s="10" t="s">
        <v>41</v>
      </c>
      <c r="C54" s="12">
        <v>0.03</v>
      </c>
      <c r="D54" s="30">
        <f t="shared" si="0"/>
        <v>36.549999999999997</v>
      </c>
    </row>
    <row r="55" spans="1:4" ht="16.2" thickBot="1" x14ac:dyDescent="0.35">
      <c r="A55" s="9" t="s">
        <v>23</v>
      </c>
      <c r="B55" s="10" t="s">
        <v>42</v>
      </c>
      <c r="C55" s="12">
        <v>1.4999999999999999E-2</v>
      </c>
      <c r="D55" s="30">
        <f t="shared" si="0"/>
        <v>18.274999999999999</v>
      </c>
    </row>
    <row r="56" spans="1:4" ht="16.2" thickBot="1" x14ac:dyDescent="0.35">
      <c r="A56" s="9" t="s">
        <v>24</v>
      </c>
      <c r="B56" s="10" t="s">
        <v>43</v>
      </c>
      <c r="C56" s="12">
        <v>0.01</v>
      </c>
      <c r="D56" s="30">
        <f t="shared" si="0"/>
        <v>12.183333333333334</v>
      </c>
    </row>
    <row r="57" spans="1:4" ht="16.2" thickBot="1" x14ac:dyDescent="0.35">
      <c r="A57" s="9" t="s">
        <v>26</v>
      </c>
      <c r="B57" s="10" t="s">
        <v>3</v>
      </c>
      <c r="C57" s="12">
        <v>6.0000000000000001E-3</v>
      </c>
      <c r="D57" s="30">
        <f t="shared" si="0"/>
        <v>7.31</v>
      </c>
    </row>
    <row r="58" spans="1:4" ht="16.2" thickBot="1" x14ac:dyDescent="0.35">
      <c r="A58" s="9" t="s">
        <v>27</v>
      </c>
      <c r="B58" s="10" t="s">
        <v>4</v>
      </c>
      <c r="C58" s="12">
        <v>2E-3</v>
      </c>
      <c r="D58" s="30">
        <f t="shared" si="0"/>
        <v>2.4366666666666665</v>
      </c>
    </row>
    <row r="59" spans="1:4" ht="16.2" thickBot="1" x14ac:dyDescent="0.35">
      <c r="A59" s="9" t="s">
        <v>44</v>
      </c>
      <c r="B59" s="10" t="s">
        <v>5</v>
      </c>
      <c r="C59" s="12">
        <v>0.08</v>
      </c>
      <c r="D59" s="30">
        <f t="shared" si="0"/>
        <v>97.466666666666669</v>
      </c>
    </row>
    <row r="60" spans="1:4" ht="16.2" thickBot="1" x14ac:dyDescent="0.35">
      <c r="A60" s="82" t="s">
        <v>45</v>
      </c>
      <c r="B60" s="83"/>
      <c r="C60" s="12">
        <f>SUM(C52:C59)</f>
        <v>0.36800000000000005</v>
      </c>
      <c r="D60" s="30">
        <f t="shared" si="0"/>
        <v>448.34666666666669</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106</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430.6</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198.33333333333331</v>
      </c>
    </row>
    <row r="77" spans="1:3" ht="16.2" thickBot="1" x14ac:dyDescent="0.35">
      <c r="A77" s="9" t="s">
        <v>36</v>
      </c>
      <c r="B77" s="10" t="s">
        <v>37</v>
      </c>
      <c r="C77" s="30">
        <f>D60</f>
        <v>448.34666666666669</v>
      </c>
    </row>
    <row r="78" spans="1:3" ht="16.2" thickBot="1" x14ac:dyDescent="0.35">
      <c r="A78" s="9" t="s">
        <v>47</v>
      </c>
      <c r="B78" s="10" t="s">
        <v>48</v>
      </c>
      <c r="C78" s="30">
        <f>C70</f>
        <v>430.6</v>
      </c>
    </row>
    <row r="79" spans="1:3" ht="16.2" thickBot="1" x14ac:dyDescent="0.35">
      <c r="A79" s="82" t="s">
        <v>2</v>
      </c>
      <c r="B79" s="83"/>
      <c r="C79" s="30">
        <f>SUM(C76:C78)</f>
        <v>1077.2800000000002</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61.022126666666665</v>
      </c>
    </row>
    <row r="86" spans="1:4" ht="16.2" thickBot="1" x14ac:dyDescent="0.35">
      <c r="A86" s="9" t="s">
        <v>19</v>
      </c>
      <c r="B86" s="13" t="s">
        <v>56</v>
      </c>
      <c r="C86" s="30">
        <f>C85*8%</f>
        <v>4.8817701333333332</v>
      </c>
    </row>
    <row r="87" spans="1:4" ht="16.2" thickBot="1" x14ac:dyDescent="0.35">
      <c r="A87" s="9" t="s">
        <v>21</v>
      </c>
      <c r="B87" s="13" t="s">
        <v>57</v>
      </c>
      <c r="C87" s="30">
        <f>($C$36+$C$46+$D$59+$C$70)*(50%*(40%+10%)*8%)</f>
        <v>34.928000000000004</v>
      </c>
      <c r="D87" s="31"/>
    </row>
    <row r="88" spans="1:4" ht="16.2" thickBot="1" x14ac:dyDescent="0.35">
      <c r="A88" s="9" t="s">
        <v>23</v>
      </c>
      <c r="B88" s="13" t="s">
        <v>58</v>
      </c>
      <c r="C88" s="30">
        <f>($C$36+$C$79)*(41.93%*(1/12))</f>
        <v>73.28245866666667</v>
      </c>
    </row>
    <row r="89" spans="1:4" ht="31.8" thickBot="1" x14ac:dyDescent="0.35">
      <c r="A89" s="9" t="s">
        <v>24</v>
      </c>
      <c r="B89" s="13" t="s">
        <v>102</v>
      </c>
      <c r="C89" s="30">
        <f>$C$60*$C$88</f>
        <v>26.967944789333337</v>
      </c>
    </row>
    <row r="90" spans="1:4" ht="16.2" thickBot="1" x14ac:dyDescent="0.35">
      <c r="A90" s="9" t="s">
        <v>26</v>
      </c>
      <c r="B90" s="13" t="s">
        <v>59</v>
      </c>
      <c r="C90" s="30">
        <f>($C$36+$C$79)*(50%*(40%+10%)*8%)</f>
        <v>41.945600000000006</v>
      </c>
      <c r="D90" s="31"/>
    </row>
    <row r="91" spans="1:4" ht="16.2" thickBot="1" x14ac:dyDescent="0.35">
      <c r="A91" s="82" t="s">
        <v>2</v>
      </c>
      <c r="B91" s="83"/>
      <c r="C91" s="30">
        <f>SUM(C85:C90)</f>
        <v>243.02790025600001</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134.64766478464543</v>
      </c>
    </row>
    <row r="101" spans="1:3" ht="16.2" thickBot="1" x14ac:dyDescent="0.35">
      <c r="A101" s="9" t="s">
        <v>19</v>
      </c>
      <c r="B101" s="10" t="s">
        <v>104</v>
      </c>
      <c r="C101" s="30">
        <f>(((C36+C79+C91)/30)*(1+3.4521+0.3044+0.0427+0.037+0.02+0.004+0.001))/12</f>
        <v>31.601957679790186</v>
      </c>
    </row>
    <row r="102" spans="1:3" ht="16.2" thickBot="1" x14ac:dyDescent="0.35">
      <c r="A102" s="9" t="s">
        <v>21</v>
      </c>
      <c r="B102" s="10" t="s">
        <v>105</v>
      </c>
      <c r="C102" s="30">
        <f>(((C36+C79+C91)/30)*0.1892)/12</f>
        <v>1.229961818690098</v>
      </c>
    </row>
    <row r="103" spans="1:3" ht="16.2" thickBot="1" x14ac:dyDescent="0.35">
      <c r="A103" s="9" t="s">
        <v>23</v>
      </c>
      <c r="B103" s="10" t="s">
        <v>106</v>
      </c>
      <c r="C103" s="30">
        <f>(((C36+C79+C91)/30)*0.9548)/12</f>
        <v>6.207016619901192</v>
      </c>
    </row>
    <row r="104" spans="1:3" ht="16.2" thickBot="1" x14ac:dyDescent="0.35">
      <c r="A104" s="9" t="s">
        <v>24</v>
      </c>
      <c r="B104" s="10" t="s">
        <v>107</v>
      </c>
      <c r="C104" s="30">
        <f>(((C36+C79+C91)/30)*2.4723)/12</f>
        <v>16.072064505008083</v>
      </c>
    </row>
    <row r="105" spans="1:3" ht="16.2" thickBot="1" x14ac:dyDescent="0.35">
      <c r="A105" s="9" t="s">
        <v>26</v>
      </c>
      <c r="B105" s="10" t="s">
        <v>108</v>
      </c>
      <c r="C105" s="30"/>
    </row>
    <row r="106" spans="1:3" ht="16.2" thickBot="1" x14ac:dyDescent="0.35">
      <c r="A106" s="82" t="s">
        <v>45</v>
      </c>
      <c r="B106" s="83"/>
      <c r="C106" s="30">
        <f>SUM(C100:C105)</f>
        <v>189.758665408035</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189.758665408035</v>
      </c>
    </row>
    <row r="120" spans="1:5" ht="16.2" thickBot="1" x14ac:dyDescent="0.35">
      <c r="A120" s="9" t="s">
        <v>62</v>
      </c>
      <c r="B120" s="10" t="s">
        <v>113</v>
      </c>
      <c r="C120" s="30">
        <f>C113</f>
        <v>0</v>
      </c>
    </row>
    <row r="121" spans="1:5" ht="16.2" thickBot="1" x14ac:dyDescent="0.35">
      <c r="A121" s="82" t="s">
        <v>2</v>
      </c>
      <c r="B121" s="83"/>
      <c r="C121" s="30">
        <f>SUM(C119:C120)</f>
        <v>189.758665408035</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6" si="1">C129*D129</f>
        <v>88.84</v>
      </c>
    </row>
    <row r="130" spans="1:5" ht="16.2" thickBot="1" x14ac:dyDescent="0.35">
      <c r="A130" s="61">
        <v>3</v>
      </c>
      <c r="B130" s="36" t="s">
        <v>149</v>
      </c>
      <c r="C130" s="66">
        <v>4</v>
      </c>
      <c r="D130" s="67">
        <v>15</v>
      </c>
      <c r="E130" s="6">
        <f t="shared" si="1"/>
        <v>60</v>
      </c>
    </row>
    <row r="131" spans="1:5" ht="16.2" thickBot="1" x14ac:dyDescent="0.35">
      <c r="A131" s="61">
        <v>4</v>
      </c>
      <c r="B131" s="36" t="s">
        <v>150</v>
      </c>
      <c r="C131" s="66">
        <v>1</v>
      </c>
      <c r="D131" s="67">
        <v>45.29</v>
      </c>
      <c r="E131" s="6">
        <f t="shared" si="1"/>
        <v>45.29</v>
      </c>
    </row>
    <row r="132" spans="1:5" ht="16.2" thickBot="1" x14ac:dyDescent="0.35">
      <c r="A132" s="61">
        <v>5</v>
      </c>
      <c r="B132" s="36" t="s">
        <v>160</v>
      </c>
      <c r="C132" s="66">
        <v>1</v>
      </c>
      <c r="D132" s="66">
        <v>7.95</v>
      </c>
      <c r="E132" s="6">
        <f t="shared" si="1"/>
        <v>7.95</v>
      </c>
    </row>
    <row r="133" spans="1:5" ht="16.2" thickBot="1" x14ac:dyDescent="0.35">
      <c r="A133" s="61">
        <v>6</v>
      </c>
      <c r="B133" s="36" t="s">
        <v>151</v>
      </c>
      <c r="C133" s="66">
        <v>1</v>
      </c>
      <c r="D133" s="67">
        <v>20.309999999999999</v>
      </c>
      <c r="E133" s="6">
        <f t="shared" si="1"/>
        <v>20.309999999999999</v>
      </c>
    </row>
    <row r="134" spans="1:5" ht="16.2" thickBot="1" x14ac:dyDescent="0.35">
      <c r="A134" s="61">
        <v>7</v>
      </c>
      <c r="B134" s="36" t="s">
        <v>199</v>
      </c>
      <c r="C134" s="66">
        <v>2</v>
      </c>
      <c r="D134" s="67">
        <v>3.03</v>
      </c>
      <c r="E134" s="6">
        <f t="shared" si="1"/>
        <v>6.06</v>
      </c>
    </row>
    <row r="135" spans="1:5" ht="16.2" thickBot="1" x14ac:dyDescent="0.35">
      <c r="A135" s="61">
        <v>8</v>
      </c>
      <c r="B135" s="36" t="s">
        <v>161</v>
      </c>
      <c r="C135" s="66">
        <v>1</v>
      </c>
      <c r="D135" s="66">
        <v>25.66</v>
      </c>
      <c r="E135" s="6">
        <f t="shared" si="1"/>
        <v>25.66</v>
      </c>
    </row>
    <row r="136" spans="1:5" ht="16.2" thickBot="1" x14ac:dyDescent="0.35">
      <c r="A136" s="61">
        <v>9</v>
      </c>
      <c r="B136" s="36" t="s">
        <v>200</v>
      </c>
      <c r="C136" s="66">
        <v>1</v>
      </c>
      <c r="D136" s="67">
        <v>69.650000000000006</v>
      </c>
      <c r="E136" s="6">
        <f t="shared" si="1"/>
        <v>69.650000000000006</v>
      </c>
    </row>
    <row r="137" spans="1:5" ht="16.2" thickBot="1" x14ac:dyDescent="0.35">
      <c r="A137" s="87" t="s">
        <v>114</v>
      </c>
      <c r="B137" s="88"/>
      <c r="C137" s="5"/>
      <c r="D137" s="5"/>
      <c r="E137" s="37">
        <f>SUM(E128:E136)</f>
        <v>416.32000000000005</v>
      </c>
    </row>
    <row r="138" spans="1:5" ht="16.2" thickBot="1" x14ac:dyDescent="0.35">
      <c r="A138" s="87" t="s">
        <v>115</v>
      </c>
      <c r="B138" s="88"/>
      <c r="C138" s="5"/>
      <c r="D138" s="5"/>
      <c r="E138" s="37">
        <f>E137/12</f>
        <v>34.693333333333335</v>
      </c>
    </row>
    <row r="139" spans="1:5" ht="16.2" thickBot="1" x14ac:dyDescent="0.35">
      <c r="A139" s="59"/>
      <c r="B139" s="59"/>
      <c r="C139" s="59"/>
    </row>
    <row r="140" spans="1:5" ht="16.2" thickBot="1" x14ac:dyDescent="0.35">
      <c r="A140" s="7">
        <v>5</v>
      </c>
      <c r="B140" s="14" t="s">
        <v>6</v>
      </c>
      <c r="C140" s="8" t="s">
        <v>16</v>
      </c>
    </row>
    <row r="141" spans="1:5" ht="16.2" thickBot="1" x14ac:dyDescent="0.35">
      <c r="A141" s="9" t="s">
        <v>17</v>
      </c>
      <c r="B141" s="10" t="s">
        <v>66</v>
      </c>
      <c r="C141" s="30">
        <f>E138</f>
        <v>34.693333333333335</v>
      </c>
    </row>
    <row r="142" spans="1:5" ht="16.2" thickBot="1" x14ac:dyDescent="0.35">
      <c r="A142" s="9" t="s">
        <v>19</v>
      </c>
      <c r="B142" s="10" t="s">
        <v>67</v>
      </c>
      <c r="C142" s="30">
        <f>'Materiais Carregador'!G7+0.48</f>
        <v>39.18</v>
      </c>
    </row>
    <row r="143" spans="1:5" ht="16.2" thickBot="1" x14ac:dyDescent="0.35">
      <c r="A143" s="9" t="s">
        <v>21</v>
      </c>
      <c r="B143" s="10" t="s">
        <v>68</v>
      </c>
      <c r="C143" s="30">
        <v>0</v>
      </c>
    </row>
    <row r="144" spans="1:5" ht="16.2" thickBot="1" x14ac:dyDescent="0.35">
      <c r="A144" s="9" t="s">
        <v>23</v>
      </c>
      <c r="B144" s="10" t="s">
        <v>28</v>
      </c>
      <c r="C144" s="30"/>
    </row>
    <row r="145" spans="1:5" ht="16.2" thickBot="1" x14ac:dyDescent="0.35">
      <c r="A145" s="82" t="s">
        <v>45</v>
      </c>
      <c r="B145" s="83"/>
      <c r="C145" s="30">
        <f>SUM(C141:C144)</f>
        <v>73.873333333333335</v>
      </c>
    </row>
    <row r="148" spans="1:5" x14ac:dyDescent="0.3">
      <c r="A148" s="81" t="s">
        <v>69</v>
      </c>
      <c r="B148" s="81"/>
      <c r="C148" s="81"/>
    </row>
    <row r="149" spans="1:5" ht="16.2" thickBot="1" x14ac:dyDescent="0.35"/>
    <row r="150" spans="1:5" ht="16.2" thickBot="1" x14ac:dyDescent="0.35">
      <c r="A150" s="7">
        <v>6</v>
      </c>
      <c r="B150" s="14" t="s">
        <v>7</v>
      </c>
      <c r="C150" s="8" t="s">
        <v>38</v>
      </c>
      <c r="D150" s="8" t="s">
        <v>16</v>
      </c>
    </row>
    <row r="151" spans="1:5" ht="16.2" thickBot="1" x14ac:dyDescent="0.35">
      <c r="A151" s="9" t="s">
        <v>17</v>
      </c>
      <c r="B151" s="10" t="s">
        <v>8</v>
      </c>
      <c r="C151" s="42">
        <v>0.03</v>
      </c>
      <c r="D151" s="40">
        <f>C168*C151</f>
        <v>78.118196969921058</v>
      </c>
    </row>
    <row r="152" spans="1:5" ht="16.2" thickBot="1" x14ac:dyDescent="0.35">
      <c r="A152" s="9" t="s">
        <v>19</v>
      </c>
      <c r="B152" s="10" t="s">
        <v>10</v>
      </c>
      <c r="C152" s="42">
        <v>6.7900000000000002E-2</v>
      </c>
      <c r="D152" s="40">
        <f>(C168+D151)*C152</f>
        <v>182.11174471617898</v>
      </c>
    </row>
    <row r="153" spans="1:5" ht="16.2" thickBot="1" x14ac:dyDescent="0.35">
      <c r="A153" s="9" t="s">
        <v>21</v>
      </c>
      <c r="B153" s="10" t="s">
        <v>9</v>
      </c>
      <c r="C153" s="38">
        <v>0.14249999999999999</v>
      </c>
      <c r="D153" s="41"/>
      <c r="E153" s="31">
        <f>(C168+D151+D152)/(1-C153)</f>
        <v>3340.1397558990889</v>
      </c>
    </row>
    <row r="154" spans="1:5" ht="16.2" thickBot="1" x14ac:dyDescent="0.35">
      <c r="A154" s="9"/>
      <c r="B154" s="10" t="s">
        <v>117</v>
      </c>
      <c r="C154" s="42">
        <v>1.6500000000000001E-2</v>
      </c>
      <c r="D154" s="40">
        <f>$E$153*C154</f>
        <v>55.112305972334966</v>
      </c>
    </row>
    <row r="155" spans="1:5" ht="16.2" thickBot="1" x14ac:dyDescent="0.35">
      <c r="A155" s="9"/>
      <c r="B155" s="10" t="s">
        <v>118</v>
      </c>
      <c r="C155" s="42">
        <v>7.5999999999999998E-2</v>
      </c>
      <c r="D155" s="40">
        <f>$E$153*C155</f>
        <v>253.85062144833074</v>
      </c>
    </row>
    <row r="156" spans="1:5" ht="16.2" thickBot="1" x14ac:dyDescent="0.35">
      <c r="A156" s="9"/>
      <c r="B156" s="10" t="s">
        <v>116</v>
      </c>
      <c r="C156" s="42">
        <v>0.05</v>
      </c>
      <c r="D156" s="40">
        <f t="shared" ref="D156" si="2">$E$153*C156</f>
        <v>167.00698779495445</v>
      </c>
    </row>
    <row r="157" spans="1:5" ht="16.2" thickBot="1" x14ac:dyDescent="0.35">
      <c r="A157" s="82" t="s">
        <v>45</v>
      </c>
      <c r="B157" s="83"/>
      <c r="C157" s="12">
        <v>0.30449999999999999</v>
      </c>
      <c r="D157" s="40">
        <f>SUM(D151:D156)</f>
        <v>736.1998569017203</v>
      </c>
      <c r="E157" s="31"/>
    </row>
    <row r="158" spans="1:5" x14ac:dyDescent="0.3">
      <c r="D158" s="31"/>
    </row>
    <row r="160" spans="1:5" x14ac:dyDescent="0.3">
      <c r="A160" s="81" t="s">
        <v>70</v>
      </c>
      <c r="B160" s="81"/>
      <c r="C160" s="81"/>
    </row>
    <row r="161" spans="1:5" ht="16.2" thickBot="1" x14ac:dyDescent="0.35"/>
    <row r="162" spans="1:5" ht="16.2" thickBot="1" x14ac:dyDescent="0.35">
      <c r="A162" s="7"/>
      <c r="B162" s="8" t="s">
        <v>71</v>
      </c>
      <c r="C162" s="8" t="s">
        <v>16</v>
      </c>
    </row>
    <row r="163" spans="1:5" ht="16.2" thickBot="1" x14ac:dyDescent="0.35">
      <c r="A163" s="16" t="s">
        <v>17</v>
      </c>
      <c r="B163" s="10" t="s">
        <v>14</v>
      </c>
      <c r="C163" s="39">
        <f>C36</f>
        <v>1020</v>
      </c>
    </row>
    <row r="164" spans="1:5" ht="16.2" thickBot="1" x14ac:dyDescent="0.35">
      <c r="A164" s="16" t="s">
        <v>19</v>
      </c>
      <c r="B164" s="10" t="s">
        <v>29</v>
      </c>
      <c r="C164" s="39">
        <f>C79</f>
        <v>1077.2800000000002</v>
      </c>
    </row>
    <row r="165" spans="1:5" ht="16.2" thickBot="1" x14ac:dyDescent="0.35">
      <c r="A165" s="16" t="s">
        <v>21</v>
      </c>
      <c r="B165" s="10" t="s">
        <v>53</v>
      </c>
      <c r="C165" s="39">
        <f>C91</f>
        <v>243.02790025600001</v>
      </c>
    </row>
    <row r="166" spans="1:5" ht="16.2" thickBot="1" x14ac:dyDescent="0.35">
      <c r="A166" s="16" t="s">
        <v>23</v>
      </c>
      <c r="B166" s="10" t="s">
        <v>60</v>
      </c>
      <c r="C166" s="39">
        <f>C121</f>
        <v>189.758665408035</v>
      </c>
    </row>
    <row r="167" spans="1:5" ht="16.2" thickBot="1" x14ac:dyDescent="0.35">
      <c r="A167" s="16" t="s">
        <v>24</v>
      </c>
      <c r="B167" s="10" t="s">
        <v>65</v>
      </c>
      <c r="C167" s="39">
        <f>C145</f>
        <v>73.873333333333335</v>
      </c>
    </row>
    <row r="168" spans="1:5" ht="16.2" thickBot="1" x14ac:dyDescent="0.35">
      <c r="A168" s="82" t="s">
        <v>72</v>
      </c>
      <c r="B168" s="83"/>
      <c r="C168" s="39">
        <f>SUM(C163:C167)</f>
        <v>2603.9398989973688</v>
      </c>
    </row>
    <row r="169" spans="1:5" ht="16.2" thickBot="1" x14ac:dyDescent="0.35">
      <c r="A169" s="16" t="s">
        <v>26</v>
      </c>
      <c r="B169" s="10" t="s">
        <v>73</v>
      </c>
      <c r="C169" s="39">
        <f>D157</f>
        <v>736.1998569017203</v>
      </c>
    </row>
    <row r="170" spans="1:5" ht="16.2" thickBot="1" x14ac:dyDescent="0.35">
      <c r="A170" s="82" t="s">
        <v>74</v>
      </c>
      <c r="B170" s="83"/>
      <c r="C170" s="39">
        <f>C168+C169</f>
        <v>3340.1397558990893</v>
      </c>
    </row>
    <row r="173" spans="1:5" x14ac:dyDescent="0.3">
      <c r="A173" t="s">
        <v>319</v>
      </c>
      <c r="B173"/>
      <c r="C173"/>
      <c r="D173"/>
      <c r="E173"/>
    </row>
    <row r="174" spans="1:5" x14ac:dyDescent="0.3">
      <c r="A174"/>
      <c r="B174"/>
      <c r="C174"/>
      <c r="D174"/>
      <c r="E174"/>
    </row>
    <row r="175" spans="1:5" x14ac:dyDescent="0.3">
      <c r="A175" s="48"/>
      <c r="B175" s="48" t="s">
        <v>120</v>
      </c>
      <c r="C175" s="49"/>
      <c r="D175" s="50"/>
    </row>
    <row r="176" spans="1:5" x14ac:dyDescent="0.3">
      <c r="A176" s="51"/>
      <c r="B176" s="51" t="s">
        <v>121</v>
      </c>
      <c r="C176" s="50"/>
      <c r="D176" s="50"/>
    </row>
    <row r="177" spans="1:4" x14ac:dyDescent="0.3">
      <c r="B177" s="15" t="s">
        <v>144</v>
      </c>
      <c r="C177" s="50"/>
      <c r="D177" s="50"/>
    </row>
    <row r="178" spans="1:4" x14ac:dyDescent="0.3">
      <c r="A178" s="3"/>
      <c r="B178" s="51" t="s">
        <v>123</v>
      </c>
      <c r="C178" s="50"/>
      <c r="D178" s="50"/>
    </row>
    <row r="179" spans="1:4" x14ac:dyDescent="0.3">
      <c r="A179" s="1"/>
      <c r="B179" s="1" t="s">
        <v>124</v>
      </c>
      <c r="C179" s="1"/>
      <c r="D179" s="50"/>
    </row>
    <row r="181" spans="1:4" x14ac:dyDescent="0.3">
      <c r="B181" s="48" t="s">
        <v>120</v>
      </c>
    </row>
    <row r="182" spans="1:4" x14ac:dyDescent="0.3">
      <c r="B182" s="51" t="s">
        <v>121</v>
      </c>
    </row>
    <row r="183" spans="1:4" x14ac:dyDescent="0.3">
      <c r="B183" s="15" t="s">
        <v>122</v>
      </c>
    </row>
    <row r="184" spans="1:4" x14ac:dyDescent="0.3">
      <c r="B184" s="51" t="s">
        <v>142</v>
      </c>
    </row>
    <row r="185" spans="1:4" x14ac:dyDescent="0.3">
      <c r="B185" s="1" t="s">
        <v>143</v>
      </c>
    </row>
  </sheetData>
  <mergeCells count="47">
    <mergeCell ref="A148:C148"/>
    <mergeCell ref="A157:B157"/>
    <mergeCell ref="A160:C160"/>
    <mergeCell ref="A168:B168"/>
    <mergeCell ref="A170:B170"/>
    <mergeCell ref="A145:B145"/>
    <mergeCell ref="A94:C94"/>
    <mergeCell ref="A97:C97"/>
    <mergeCell ref="A106:B106"/>
    <mergeCell ref="A109:C109"/>
    <mergeCell ref="A113:B113"/>
    <mergeCell ref="A116:C116"/>
    <mergeCell ref="A121:B121"/>
    <mergeCell ref="A124:C124"/>
    <mergeCell ref="A126:E126"/>
    <mergeCell ref="A137:B137"/>
    <mergeCell ref="A138:B138"/>
    <mergeCell ref="A91:B91"/>
    <mergeCell ref="A36:B36"/>
    <mergeCell ref="A39:C39"/>
    <mergeCell ref="A41:C41"/>
    <mergeCell ref="A46:B46"/>
    <mergeCell ref="A49:D49"/>
    <mergeCell ref="A60:B60"/>
    <mergeCell ref="A63:C63"/>
    <mergeCell ref="A70:B70"/>
    <mergeCell ref="A73:C73"/>
    <mergeCell ref="A79:B79"/>
    <mergeCell ref="A82:C82"/>
    <mergeCell ref="A27:C27"/>
    <mergeCell ref="C11:E11"/>
    <mergeCell ref="C12:E12"/>
    <mergeCell ref="A14:C14"/>
    <mergeCell ref="C15:E15"/>
    <mergeCell ref="C16:D16"/>
    <mergeCell ref="A18:E18"/>
    <mergeCell ref="A19:E19"/>
    <mergeCell ref="C20:E20"/>
    <mergeCell ref="C21:E21"/>
    <mergeCell ref="C22:E22"/>
    <mergeCell ref="C23:E23"/>
    <mergeCell ref="C10:E10"/>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4A4F4-FAE9-4F67-9D9F-870F36F5AD68}">
  <dimension ref="A1:H22"/>
  <sheetViews>
    <sheetView zoomScaleNormal="100" zoomScaleSheetLayoutView="70" workbookViewId="0">
      <selection sqref="A1:H22"/>
    </sheetView>
  </sheetViews>
  <sheetFormatPr defaultRowHeight="14.4" x14ac:dyDescent="0.3"/>
  <cols>
    <col min="2" max="2" width="45.109375" customWidth="1"/>
    <col min="6" max="6" width="10.5546875" bestFit="1" customWidth="1"/>
    <col min="7" max="7" width="17.6640625" customWidth="1"/>
  </cols>
  <sheetData>
    <row r="1" spans="1:8" ht="15" customHeight="1" x14ac:dyDescent="0.3">
      <c r="A1" s="102" t="s">
        <v>291</v>
      </c>
      <c r="B1" s="103"/>
      <c r="C1" s="103"/>
      <c r="D1" s="103"/>
      <c r="E1" s="103"/>
      <c r="F1" s="103"/>
      <c r="G1" s="103"/>
      <c r="H1" s="103"/>
    </row>
    <row r="2" spans="1:8" ht="15" customHeight="1" x14ac:dyDescent="0.3">
      <c r="A2" s="104"/>
      <c r="B2" s="105"/>
      <c r="C2" s="105"/>
      <c r="D2" s="105"/>
      <c r="E2" s="105"/>
      <c r="F2" s="105"/>
      <c r="G2" s="105"/>
      <c r="H2" s="105"/>
    </row>
    <row r="3" spans="1:8" ht="15.75" customHeight="1" x14ac:dyDescent="0.3">
      <c r="A3" s="100" t="s">
        <v>119</v>
      </c>
      <c r="B3" s="100" t="s">
        <v>125</v>
      </c>
      <c r="C3" s="100" t="s">
        <v>126</v>
      </c>
      <c r="D3" s="100" t="s">
        <v>127</v>
      </c>
      <c r="E3" s="100" t="s">
        <v>265</v>
      </c>
      <c r="F3" s="100" t="s">
        <v>129</v>
      </c>
      <c r="G3" s="100"/>
      <c r="H3" s="100" t="s">
        <v>128</v>
      </c>
    </row>
    <row r="4" spans="1:8" ht="31.2" x14ac:dyDescent="0.3">
      <c r="A4" s="101"/>
      <c r="B4" s="101"/>
      <c r="C4" s="101"/>
      <c r="D4" s="101"/>
      <c r="E4" s="101"/>
      <c r="F4" s="43" t="s">
        <v>130</v>
      </c>
      <c r="G4" s="43" t="s">
        <v>131</v>
      </c>
      <c r="H4" s="101"/>
    </row>
    <row r="5" spans="1:8" ht="15.75" customHeight="1" x14ac:dyDescent="0.3">
      <c r="A5" s="52">
        <v>1</v>
      </c>
      <c r="B5" s="73" t="s">
        <v>292</v>
      </c>
      <c r="C5" s="45" t="s">
        <v>133</v>
      </c>
      <c r="D5" s="70">
        <v>2</v>
      </c>
      <c r="E5" s="71">
        <v>60</v>
      </c>
      <c r="F5" s="47">
        <v>193.5</v>
      </c>
      <c r="G5" s="53">
        <f>D5*F5</f>
        <v>387</v>
      </c>
      <c r="H5" s="18"/>
    </row>
    <row r="6" spans="1:8" ht="15.6" x14ac:dyDescent="0.3">
      <c r="A6" s="106" t="s">
        <v>262</v>
      </c>
      <c r="B6" s="106"/>
      <c r="C6" s="107"/>
      <c r="D6" s="107"/>
      <c r="E6" s="106"/>
      <c r="F6" s="106"/>
      <c r="G6" s="54">
        <f>SUM(G5:G5)</f>
        <v>387</v>
      </c>
    </row>
    <row r="7" spans="1:8" ht="15.6" x14ac:dyDescent="0.3">
      <c r="A7" s="106" t="s">
        <v>290</v>
      </c>
      <c r="B7" s="106"/>
      <c r="C7" s="106"/>
      <c r="D7" s="106"/>
      <c r="E7" s="106"/>
      <c r="F7" s="106"/>
      <c r="G7" s="55">
        <f>G6/10</f>
        <v>38.700000000000003</v>
      </c>
    </row>
    <row r="8" spans="1:8" ht="15.6" x14ac:dyDescent="0.3">
      <c r="A8" s="50"/>
      <c r="B8" s="50"/>
      <c r="C8" s="50"/>
      <c r="D8" s="50"/>
      <c r="E8" s="50"/>
      <c r="F8" s="50"/>
      <c r="G8" s="50"/>
    </row>
    <row r="9" spans="1:8" ht="15.6" x14ac:dyDescent="0.3">
      <c r="A9" s="50"/>
      <c r="B9" s="50"/>
      <c r="C9" s="50"/>
      <c r="D9" s="50"/>
      <c r="E9" s="50"/>
      <c r="F9" s="50"/>
      <c r="G9" s="50"/>
    </row>
    <row r="10" spans="1:8" ht="15.6" x14ac:dyDescent="0.3">
      <c r="A10" s="50"/>
      <c r="B10" t="s">
        <v>319</v>
      </c>
      <c r="C10" s="50"/>
      <c r="D10" s="50"/>
      <c r="E10" s="50"/>
      <c r="F10" s="50"/>
      <c r="G10" s="50"/>
    </row>
    <row r="11" spans="1:8" ht="15.6" x14ac:dyDescent="0.3">
      <c r="A11" s="50"/>
      <c r="B11" s="50"/>
      <c r="C11" s="50"/>
      <c r="D11" s="50"/>
      <c r="E11" s="50"/>
      <c r="F11" s="50"/>
      <c r="G11" s="50"/>
    </row>
    <row r="12" spans="1:8" ht="15.6" x14ac:dyDescent="0.3">
      <c r="A12" s="50"/>
      <c r="B12" s="48" t="s">
        <v>120</v>
      </c>
      <c r="C12" s="51"/>
      <c r="D12" s="50"/>
      <c r="E12" s="50"/>
      <c r="F12" s="50"/>
    </row>
    <row r="13" spans="1:8" ht="15.6" x14ac:dyDescent="0.3">
      <c r="A13" s="50"/>
      <c r="B13" s="51" t="s">
        <v>121</v>
      </c>
      <c r="C13" s="51"/>
      <c r="D13" s="50"/>
      <c r="E13" s="50"/>
      <c r="F13" s="50"/>
    </row>
    <row r="14" spans="1:8" ht="15.6" x14ac:dyDescent="0.3">
      <c r="A14" s="50"/>
      <c r="B14" s="15" t="s">
        <v>122</v>
      </c>
      <c r="C14" s="15"/>
      <c r="D14" s="50"/>
      <c r="E14" s="50"/>
      <c r="F14" s="50"/>
    </row>
    <row r="15" spans="1:8" ht="15.6" x14ac:dyDescent="0.3">
      <c r="A15" s="50"/>
      <c r="B15" s="51" t="s">
        <v>123</v>
      </c>
      <c r="C15" s="51"/>
      <c r="D15" s="50"/>
      <c r="E15" s="50"/>
      <c r="F15" s="50"/>
    </row>
    <row r="16" spans="1:8" ht="15.6" x14ac:dyDescent="0.3">
      <c r="A16" s="50"/>
      <c r="B16" s="1" t="s">
        <v>124</v>
      </c>
      <c r="C16" s="1"/>
      <c r="D16" s="1"/>
      <c r="E16" s="50"/>
      <c r="F16" s="50"/>
    </row>
    <row r="18" spans="2:2" x14ac:dyDescent="0.3">
      <c r="B18" s="48" t="s">
        <v>120</v>
      </c>
    </row>
    <row r="19" spans="2:2" ht="15.6" x14ac:dyDescent="0.3">
      <c r="B19" s="51" t="s">
        <v>121</v>
      </c>
    </row>
    <row r="20" spans="2:2" ht="15.6" x14ac:dyDescent="0.3">
      <c r="B20" s="15" t="s">
        <v>122</v>
      </c>
    </row>
    <row r="21" spans="2:2" ht="15.6" x14ac:dyDescent="0.3">
      <c r="B21" s="51" t="s">
        <v>142</v>
      </c>
    </row>
    <row r="22" spans="2:2" ht="15.6" x14ac:dyDescent="0.3">
      <c r="B22" s="1" t="s">
        <v>143</v>
      </c>
    </row>
  </sheetData>
  <mergeCells count="10">
    <mergeCell ref="A6:F6"/>
    <mergeCell ref="A7:F7"/>
    <mergeCell ref="A1:H2"/>
    <mergeCell ref="A3:A4"/>
    <mergeCell ref="B3:B4"/>
    <mergeCell ref="C3:C4"/>
    <mergeCell ref="D3:D4"/>
    <mergeCell ref="E3:E4"/>
    <mergeCell ref="F3:G3"/>
    <mergeCell ref="H3:H4"/>
  </mergeCells>
  <pageMargins left="0.511811024" right="0.511811024" top="0.78740157499999996" bottom="0.78740157499999996" header="0.31496062000000002" footer="0.31496062000000002"/>
  <pageSetup paperSize="9" scale="78"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12357-0B41-4451-95F5-2791453DA2DA}">
  <dimension ref="A1:E189"/>
  <sheetViews>
    <sheetView showGridLines="0" topLeftCell="A172" zoomScale="115" zoomScaleNormal="115" workbookViewId="0">
      <selection activeCell="E183" sqref="A1:E183"/>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108" t="s">
        <v>201</v>
      </c>
      <c r="D16" s="108"/>
      <c r="E16" s="27">
        <v>8</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1098.3399999999999</v>
      </c>
      <c r="D21" s="94"/>
      <c r="E21" s="94"/>
    </row>
    <row r="22" spans="1:5" ht="33" customHeight="1" x14ac:dyDescent="0.3">
      <c r="A22" s="22">
        <v>3</v>
      </c>
      <c r="B22" s="29" t="s">
        <v>97</v>
      </c>
      <c r="C22" s="95" t="s">
        <v>202</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1098.3399999999999</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1098.3399999999999</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91.528333333333322</v>
      </c>
    </row>
    <row r="45" spans="1:3" ht="16.2" thickBot="1" x14ac:dyDescent="0.35">
      <c r="A45" s="9" t="s">
        <v>19</v>
      </c>
      <c r="B45" s="10" t="s">
        <v>34</v>
      </c>
      <c r="C45" s="30">
        <f>C36*(1/12)+C36*(1/3)*(1/12)</f>
        <v>122.03777777777776</v>
      </c>
    </row>
    <row r="46" spans="1:3" ht="16.2" thickBot="1" x14ac:dyDescent="0.35">
      <c r="A46" s="82" t="s">
        <v>2</v>
      </c>
      <c r="B46" s="83"/>
      <c r="C46" s="30">
        <f>SUM(C44:C45)</f>
        <v>213.56611111111107</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262.38122222222222</v>
      </c>
    </row>
    <row r="53" spans="1:4" ht="16.2" thickBot="1" x14ac:dyDescent="0.35">
      <c r="A53" s="9" t="s">
        <v>19</v>
      </c>
      <c r="B53" s="10" t="s">
        <v>40</v>
      </c>
      <c r="C53" s="12">
        <v>2.5000000000000001E-2</v>
      </c>
      <c r="D53" s="30">
        <f t="shared" ref="D53:D60" si="0">($C$36+$C$46)*C53</f>
        <v>32.797652777777778</v>
      </c>
    </row>
    <row r="54" spans="1:4" ht="16.2" thickBot="1" x14ac:dyDescent="0.35">
      <c r="A54" s="9" t="s">
        <v>21</v>
      </c>
      <c r="B54" s="10" t="s">
        <v>41</v>
      </c>
      <c r="C54" s="12">
        <v>0.03</v>
      </c>
      <c r="D54" s="30">
        <f t="shared" si="0"/>
        <v>39.357183333333325</v>
      </c>
    </row>
    <row r="55" spans="1:4" ht="16.2" thickBot="1" x14ac:dyDescent="0.35">
      <c r="A55" s="9" t="s">
        <v>23</v>
      </c>
      <c r="B55" s="10" t="s">
        <v>42</v>
      </c>
      <c r="C55" s="12">
        <v>1.4999999999999999E-2</v>
      </c>
      <c r="D55" s="30">
        <f t="shared" si="0"/>
        <v>19.678591666666662</v>
      </c>
    </row>
    <row r="56" spans="1:4" ht="16.2" thickBot="1" x14ac:dyDescent="0.35">
      <c r="A56" s="9" t="s">
        <v>24</v>
      </c>
      <c r="B56" s="10" t="s">
        <v>43</v>
      </c>
      <c r="C56" s="12">
        <v>0.01</v>
      </c>
      <c r="D56" s="30">
        <f t="shared" si="0"/>
        <v>13.11906111111111</v>
      </c>
    </row>
    <row r="57" spans="1:4" ht="16.2" thickBot="1" x14ac:dyDescent="0.35">
      <c r="A57" s="9" t="s">
        <v>26</v>
      </c>
      <c r="B57" s="10" t="s">
        <v>3</v>
      </c>
      <c r="C57" s="12">
        <v>6.0000000000000001E-3</v>
      </c>
      <c r="D57" s="30">
        <f t="shared" si="0"/>
        <v>7.871436666666666</v>
      </c>
    </row>
    <row r="58" spans="1:4" ht="16.2" thickBot="1" x14ac:dyDescent="0.35">
      <c r="A58" s="9" t="s">
        <v>27</v>
      </c>
      <c r="B58" s="10" t="s">
        <v>4</v>
      </c>
      <c r="C58" s="12">
        <v>2E-3</v>
      </c>
      <c r="D58" s="30">
        <f t="shared" si="0"/>
        <v>2.623812222222222</v>
      </c>
    </row>
    <row r="59" spans="1:4" ht="16.2" thickBot="1" x14ac:dyDescent="0.35">
      <c r="A59" s="9" t="s">
        <v>44</v>
      </c>
      <c r="B59" s="10" t="s">
        <v>5</v>
      </c>
      <c r="C59" s="12">
        <v>0.08</v>
      </c>
      <c r="D59" s="30">
        <f t="shared" si="0"/>
        <v>104.95248888888888</v>
      </c>
    </row>
    <row r="60" spans="1:4" ht="16.2" thickBot="1" x14ac:dyDescent="0.35">
      <c r="A60" s="82" t="s">
        <v>45</v>
      </c>
      <c r="B60" s="83"/>
      <c r="C60" s="12">
        <f>SUM(C52:C59)</f>
        <v>0.36800000000000005</v>
      </c>
      <c r="D60" s="30">
        <f t="shared" si="0"/>
        <v>482.78144888888886</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101.2996</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425.89959999999996</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213.56611111111107</v>
      </c>
    </row>
    <row r="77" spans="1:3" ht="16.2" thickBot="1" x14ac:dyDescent="0.35">
      <c r="A77" s="9" t="s">
        <v>36</v>
      </c>
      <c r="B77" s="10" t="s">
        <v>37</v>
      </c>
      <c r="C77" s="30">
        <f>D60</f>
        <v>482.78144888888886</v>
      </c>
    </row>
    <row r="78" spans="1:3" ht="16.2" thickBot="1" x14ac:dyDescent="0.35">
      <c r="A78" s="9" t="s">
        <v>47</v>
      </c>
      <c r="B78" s="10" t="s">
        <v>48</v>
      </c>
      <c r="C78" s="30">
        <f>C70</f>
        <v>425.89959999999996</v>
      </c>
    </row>
    <row r="79" spans="1:3" ht="16.2" thickBot="1" x14ac:dyDescent="0.35">
      <c r="A79" s="82" t="s">
        <v>2</v>
      </c>
      <c r="B79" s="83"/>
      <c r="C79" s="30">
        <f>SUM(C76:C78)</f>
        <v>1122.2471599999999</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64.389042771666652</v>
      </c>
    </row>
    <row r="86" spans="1:4" ht="16.2" thickBot="1" x14ac:dyDescent="0.35">
      <c r="A86" s="9" t="s">
        <v>19</v>
      </c>
      <c r="B86" s="13" t="s">
        <v>56</v>
      </c>
      <c r="C86" s="30">
        <f>C85*8%</f>
        <v>5.1511234217333319</v>
      </c>
    </row>
    <row r="87" spans="1:4" ht="16.2" thickBot="1" x14ac:dyDescent="0.35">
      <c r="A87" s="9" t="s">
        <v>21</v>
      </c>
      <c r="B87" s="13" t="s">
        <v>57</v>
      </c>
      <c r="C87" s="30">
        <f>($C$36+$C$46+$D$59+$C$70)*(50%*(40%+10%)*8%)</f>
        <v>36.855163999999995</v>
      </c>
      <c r="D87" s="31"/>
    </row>
    <row r="88" spans="1:4" ht="16.2" thickBot="1" x14ac:dyDescent="0.35">
      <c r="A88" s="9" t="s">
        <v>23</v>
      </c>
      <c r="B88" s="13" t="s">
        <v>58</v>
      </c>
      <c r="C88" s="30">
        <f>($C$36+$C$79)*(41.93%*(1/12))</f>
        <v>77.591016348999986</v>
      </c>
    </row>
    <row r="89" spans="1:4" ht="31.8" thickBot="1" x14ac:dyDescent="0.35">
      <c r="A89" s="9" t="s">
        <v>24</v>
      </c>
      <c r="B89" s="13" t="s">
        <v>102</v>
      </c>
      <c r="C89" s="30">
        <f>$C$60*$C$88</f>
        <v>28.553494016431998</v>
      </c>
    </row>
    <row r="90" spans="1:4" ht="16.2" thickBot="1" x14ac:dyDescent="0.35">
      <c r="A90" s="9" t="s">
        <v>26</v>
      </c>
      <c r="B90" s="13" t="s">
        <v>59</v>
      </c>
      <c r="C90" s="30">
        <f>($C$36+$C$79)*(50%*(40%+10%)*8%)</f>
        <v>44.411743200000004</v>
      </c>
      <c r="D90" s="31"/>
    </row>
    <row r="91" spans="1:4" ht="16.2" thickBot="1" x14ac:dyDescent="0.35">
      <c r="A91" s="82" t="s">
        <v>2</v>
      </c>
      <c r="B91" s="83"/>
      <c r="C91" s="30">
        <f>SUM(C85:C90)</f>
        <v>256.95158375883199</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142.54312700654458</v>
      </c>
    </row>
    <row r="101" spans="1:3" ht="16.2" thickBot="1" x14ac:dyDescent="0.35">
      <c r="A101" s="9" t="s">
        <v>19</v>
      </c>
      <c r="B101" s="10" t="s">
        <v>104</v>
      </c>
      <c r="C101" s="30">
        <f>(((C36+C79+C91)/30)*(1+3.4521+0.3044+0.0427+0.037+0.02+0.004+0.001))/12</f>
        <v>33.455031503223417</v>
      </c>
    </row>
    <row r="102" spans="1:3" ht="16.2" thickBot="1" x14ac:dyDescent="0.35">
      <c r="A102" s="9" t="s">
        <v>21</v>
      </c>
      <c r="B102" s="10" t="s">
        <v>105</v>
      </c>
      <c r="C102" s="30">
        <f>(((C36+C79+C91)/30)*0.1892)/12</f>
        <v>1.3020842508865862</v>
      </c>
    </row>
    <row r="103" spans="1:3" ht="16.2" thickBot="1" x14ac:dyDescent="0.35">
      <c r="A103" s="9" t="s">
        <v>23</v>
      </c>
      <c r="B103" s="10" t="s">
        <v>106</v>
      </c>
      <c r="C103" s="30">
        <f>(((C36+C79+C91)/30)*0.9548)/12</f>
        <v>6.5709833126137021</v>
      </c>
    </row>
    <row r="104" spans="1:3" ht="16.2" thickBot="1" x14ac:dyDescent="0.35">
      <c r="A104" s="9" t="s">
        <v>24</v>
      </c>
      <c r="B104" s="10" t="s">
        <v>107</v>
      </c>
      <c r="C104" s="30">
        <f>(((C36+C79+C91)/30)*2.4723)/12</f>
        <v>17.014497322763777</v>
      </c>
    </row>
    <row r="105" spans="1:3" ht="16.2" thickBot="1" x14ac:dyDescent="0.35">
      <c r="A105" s="9" t="s">
        <v>26</v>
      </c>
      <c r="B105" s="10" t="s">
        <v>108</v>
      </c>
      <c r="C105" s="30"/>
    </row>
    <row r="106" spans="1:3" ht="16.2" thickBot="1" x14ac:dyDescent="0.35">
      <c r="A106" s="82" t="s">
        <v>45</v>
      </c>
      <c r="B106" s="83"/>
      <c r="C106" s="30">
        <f>SUM(C100:C105)</f>
        <v>200.88572339603206</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200.88572339603206</v>
      </c>
    </row>
    <row r="120" spans="1:5" ht="16.2" thickBot="1" x14ac:dyDescent="0.35">
      <c r="A120" s="9" t="s">
        <v>62</v>
      </c>
      <c r="B120" s="10" t="s">
        <v>113</v>
      </c>
      <c r="C120" s="30">
        <f>C113</f>
        <v>0</v>
      </c>
    </row>
    <row r="121" spans="1:5" ht="16.2" thickBot="1" x14ac:dyDescent="0.35">
      <c r="A121" s="82" t="s">
        <v>2</v>
      </c>
      <c r="B121" s="83"/>
      <c r="C121" s="30">
        <f>SUM(C119:C120)</f>
        <v>200.88572339603206</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203</v>
      </c>
      <c r="C128" s="64">
        <v>2</v>
      </c>
      <c r="D128" s="67">
        <v>44.42</v>
      </c>
      <c r="E128" s="6">
        <f>C128*D128</f>
        <v>88.84</v>
      </c>
    </row>
    <row r="129" spans="1:5" ht="16.2" thickBot="1" x14ac:dyDescent="0.35">
      <c r="A129" s="61">
        <v>2</v>
      </c>
      <c r="B129" s="36" t="s">
        <v>204</v>
      </c>
      <c r="C129" s="66">
        <v>4</v>
      </c>
      <c r="D129" s="65">
        <v>23.14</v>
      </c>
      <c r="E129" s="6">
        <f t="shared" ref="E129:E140" si="1">C129*D129</f>
        <v>92.56</v>
      </c>
    </row>
    <row r="130" spans="1:5" ht="16.2" thickBot="1" x14ac:dyDescent="0.35">
      <c r="A130" s="61">
        <v>3</v>
      </c>
      <c r="B130" s="36" t="s">
        <v>149</v>
      </c>
      <c r="C130" s="66">
        <v>4</v>
      </c>
      <c r="D130" s="67">
        <v>15</v>
      </c>
      <c r="E130" s="6">
        <f t="shared" si="1"/>
        <v>60</v>
      </c>
    </row>
    <row r="131" spans="1:5" ht="16.2" thickBot="1" x14ac:dyDescent="0.35">
      <c r="A131" s="61">
        <v>4</v>
      </c>
      <c r="B131" s="36" t="s">
        <v>205</v>
      </c>
      <c r="C131" s="66">
        <v>1</v>
      </c>
      <c r="D131" s="67">
        <v>31.42</v>
      </c>
      <c r="E131" s="6">
        <f t="shared" si="1"/>
        <v>31.42</v>
      </c>
    </row>
    <row r="132" spans="1:5" ht="16.2" thickBot="1" x14ac:dyDescent="0.35">
      <c r="A132" s="61">
        <v>5</v>
      </c>
      <c r="B132" s="36" t="s">
        <v>161</v>
      </c>
      <c r="C132" s="66">
        <v>1</v>
      </c>
      <c r="D132" s="66">
        <v>25.66</v>
      </c>
      <c r="E132" s="6">
        <f t="shared" si="1"/>
        <v>25.66</v>
      </c>
    </row>
    <row r="133" spans="1:5" ht="16.2" thickBot="1" x14ac:dyDescent="0.35">
      <c r="A133" s="61">
        <v>6</v>
      </c>
      <c r="B133" s="36" t="s">
        <v>206</v>
      </c>
      <c r="C133" s="66">
        <v>1</v>
      </c>
      <c r="D133" s="67">
        <v>23.17</v>
      </c>
      <c r="E133" s="6">
        <f t="shared" si="1"/>
        <v>23.17</v>
      </c>
    </row>
    <row r="134" spans="1:5" ht="16.2" thickBot="1" x14ac:dyDescent="0.35">
      <c r="A134" s="61">
        <v>7</v>
      </c>
      <c r="B134" s="36" t="s">
        <v>207</v>
      </c>
      <c r="C134" s="66">
        <v>2</v>
      </c>
      <c r="D134" s="67">
        <v>10.39</v>
      </c>
      <c r="E134" s="6">
        <f t="shared" si="1"/>
        <v>20.78</v>
      </c>
    </row>
    <row r="135" spans="1:5" ht="16.2" thickBot="1" x14ac:dyDescent="0.35">
      <c r="A135" s="61">
        <v>8</v>
      </c>
      <c r="B135" s="36" t="s">
        <v>208</v>
      </c>
      <c r="C135" s="66">
        <v>2</v>
      </c>
      <c r="D135" s="66">
        <v>5.71</v>
      </c>
      <c r="E135" s="6">
        <f t="shared" si="1"/>
        <v>11.42</v>
      </c>
    </row>
    <row r="136" spans="1:5" ht="16.2" thickBot="1" x14ac:dyDescent="0.35">
      <c r="A136" s="61">
        <v>9</v>
      </c>
      <c r="B136" s="36" t="s">
        <v>209</v>
      </c>
      <c r="C136" s="66">
        <v>1</v>
      </c>
      <c r="D136" s="67">
        <v>10</v>
      </c>
      <c r="E136" s="6">
        <f t="shared" si="1"/>
        <v>10</v>
      </c>
    </row>
    <row r="137" spans="1:5" ht="16.2" thickBot="1" x14ac:dyDescent="0.35">
      <c r="A137" s="61">
        <v>10</v>
      </c>
      <c r="B137" s="36" t="s">
        <v>210</v>
      </c>
      <c r="C137" s="66">
        <v>1</v>
      </c>
      <c r="D137" s="67">
        <v>25.21</v>
      </c>
      <c r="E137" s="6">
        <f t="shared" si="1"/>
        <v>25.21</v>
      </c>
    </row>
    <row r="138" spans="1:5" ht="16.2" thickBot="1" x14ac:dyDescent="0.35">
      <c r="A138" s="61">
        <v>11</v>
      </c>
      <c r="B138" s="36" t="s">
        <v>160</v>
      </c>
      <c r="C138" s="66">
        <v>1</v>
      </c>
      <c r="D138" s="66">
        <v>7.95</v>
      </c>
      <c r="E138" s="6">
        <f t="shared" si="1"/>
        <v>7.95</v>
      </c>
    </row>
    <row r="139" spans="1:5" ht="16.2" thickBot="1" x14ac:dyDescent="0.35">
      <c r="A139" s="61">
        <v>12</v>
      </c>
      <c r="B139" s="36" t="s">
        <v>211</v>
      </c>
      <c r="C139" s="66">
        <v>2</v>
      </c>
      <c r="D139" s="67">
        <v>2.02</v>
      </c>
      <c r="E139" s="6">
        <f t="shared" si="1"/>
        <v>4.04</v>
      </c>
    </row>
    <row r="140" spans="1:5" ht="16.2" thickBot="1" x14ac:dyDescent="0.35">
      <c r="A140" s="61">
        <v>13</v>
      </c>
      <c r="B140" s="36" t="s">
        <v>212</v>
      </c>
      <c r="C140" s="66">
        <v>1</v>
      </c>
      <c r="D140" s="67">
        <v>17.239999999999998</v>
      </c>
      <c r="E140" s="6">
        <f t="shared" si="1"/>
        <v>17.239999999999998</v>
      </c>
    </row>
    <row r="141" spans="1:5" ht="16.2" thickBot="1" x14ac:dyDescent="0.35">
      <c r="A141" s="87" t="s">
        <v>114</v>
      </c>
      <c r="B141" s="88"/>
      <c r="C141" s="5"/>
      <c r="D141" s="5"/>
      <c r="E141" s="37">
        <f>SUM(E128:E140)</f>
        <v>418.29000000000008</v>
      </c>
    </row>
    <row r="142" spans="1:5" ht="16.2" thickBot="1" x14ac:dyDescent="0.35">
      <c r="A142" s="87" t="s">
        <v>115</v>
      </c>
      <c r="B142" s="88"/>
      <c r="C142" s="5"/>
      <c r="D142" s="5"/>
      <c r="E142" s="37">
        <f>E141/12</f>
        <v>34.857500000000009</v>
      </c>
    </row>
    <row r="143" spans="1:5" ht="16.2" thickBot="1" x14ac:dyDescent="0.35">
      <c r="A143" s="59"/>
      <c r="B143" s="59"/>
      <c r="C143" s="59"/>
    </row>
    <row r="144" spans="1:5" ht="16.2" thickBot="1" x14ac:dyDescent="0.35">
      <c r="A144" s="7">
        <v>5</v>
      </c>
      <c r="B144" s="14" t="s">
        <v>6</v>
      </c>
      <c r="C144" s="8" t="s">
        <v>16</v>
      </c>
    </row>
    <row r="145" spans="1:5" ht="16.2" thickBot="1" x14ac:dyDescent="0.35">
      <c r="A145" s="9" t="s">
        <v>17</v>
      </c>
      <c r="B145" s="10" t="s">
        <v>66</v>
      </c>
      <c r="C145" s="30">
        <f>E142</f>
        <v>34.857500000000009</v>
      </c>
    </row>
    <row r="146" spans="1:5" ht="16.2" thickBot="1" x14ac:dyDescent="0.35">
      <c r="A146" s="9" t="s">
        <v>19</v>
      </c>
      <c r="B146" s="10" t="s">
        <v>67</v>
      </c>
      <c r="C146" s="30">
        <f>'Materiais Roçador'!G24+0.48</f>
        <v>294.96658333333335</v>
      </c>
    </row>
    <row r="147" spans="1:5" ht="16.2" thickBot="1" x14ac:dyDescent="0.35">
      <c r="A147" s="9" t="s">
        <v>21</v>
      </c>
      <c r="B147" s="10" t="s">
        <v>68</v>
      </c>
      <c r="C147" s="30">
        <v>0</v>
      </c>
    </row>
    <row r="148" spans="1:5" ht="16.2" thickBot="1" x14ac:dyDescent="0.35">
      <c r="A148" s="9" t="s">
        <v>23</v>
      </c>
      <c r="B148" s="10" t="s">
        <v>28</v>
      </c>
      <c r="C148" s="30"/>
    </row>
    <row r="149" spans="1:5" ht="16.2" thickBot="1" x14ac:dyDescent="0.35">
      <c r="A149" s="82" t="s">
        <v>45</v>
      </c>
      <c r="B149" s="83"/>
      <c r="C149" s="30">
        <f>SUM(C145:C148)</f>
        <v>329.82408333333336</v>
      </c>
    </row>
    <row r="152" spans="1:5" x14ac:dyDescent="0.3">
      <c r="A152" s="81" t="s">
        <v>69</v>
      </c>
      <c r="B152" s="81"/>
      <c r="C152" s="81"/>
    </row>
    <row r="153" spans="1:5" ht="16.2" thickBot="1" x14ac:dyDescent="0.35"/>
    <row r="154" spans="1:5" ht="16.2" thickBot="1" x14ac:dyDescent="0.35">
      <c r="A154" s="7">
        <v>6</v>
      </c>
      <c r="B154" s="14" t="s">
        <v>7</v>
      </c>
      <c r="C154" s="8" t="s">
        <v>38</v>
      </c>
      <c r="D154" s="8" t="s">
        <v>16</v>
      </c>
    </row>
    <row r="155" spans="1:5" ht="16.2" thickBot="1" x14ac:dyDescent="0.35">
      <c r="A155" s="9" t="s">
        <v>17</v>
      </c>
      <c r="B155" s="10" t="s">
        <v>8</v>
      </c>
      <c r="C155" s="42">
        <v>0.03</v>
      </c>
      <c r="D155" s="40">
        <f>C172*C155</f>
        <v>90.247456514645918</v>
      </c>
    </row>
    <row r="156" spans="1:5" ht="16.2" thickBot="1" x14ac:dyDescent="0.35">
      <c r="A156" s="9" t="s">
        <v>19</v>
      </c>
      <c r="B156" s="10" t="s">
        <v>10</v>
      </c>
      <c r="C156" s="42">
        <v>6.7900000000000002E-2</v>
      </c>
      <c r="D156" s="40">
        <f>(C172+D155)*C156</f>
        <v>210.38787887549307</v>
      </c>
    </row>
    <row r="157" spans="1:5" ht="16.2" thickBot="1" x14ac:dyDescent="0.35">
      <c r="A157" s="9" t="s">
        <v>21</v>
      </c>
      <c r="B157" s="10" t="s">
        <v>9</v>
      </c>
      <c r="C157" s="38">
        <v>0.14249999999999999</v>
      </c>
      <c r="D157" s="41"/>
      <c r="E157" s="31">
        <f>(C172+D155+D156)/(1-C157)</f>
        <v>3858.7567182254652</v>
      </c>
    </row>
    <row r="158" spans="1:5" ht="16.2" thickBot="1" x14ac:dyDescent="0.35">
      <c r="A158" s="9"/>
      <c r="B158" s="10" t="s">
        <v>117</v>
      </c>
      <c r="C158" s="42">
        <v>1.6500000000000001E-2</v>
      </c>
      <c r="D158" s="40">
        <f>$E$157*C158</f>
        <v>63.669485850720179</v>
      </c>
    </row>
    <row r="159" spans="1:5" ht="16.2" thickBot="1" x14ac:dyDescent="0.35">
      <c r="A159" s="9"/>
      <c r="B159" s="10" t="s">
        <v>118</v>
      </c>
      <c r="C159" s="42">
        <v>7.5999999999999998E-2</v>
      </c>
      <c r="D159" s="40">
        <f>$E$157*C159</f>
        <v>293.26551058513536</v>
      </c>
    </row>
    <row r="160" spans="1:5" ht="16.2" thickBot="1" x14ac:dyDescent="0.35">
      <c r="A160" s="9"/>
      <c r="B160" s="10" t="s">
        <v>116</v>
      </c>
      <c r="C160" s="42">
        <v>0.05</v>
      </c>
      <c r="D160" s="40">
        <f t="shared" ref="D160" si="2">$E$157*C160</f>
        <v>192.93783591127328</v>
      </c>
    </row>
    <row r="161" spans="1:5" ht="16.2" thickBot="1" x14ac:dyDescent="0.35">
      <c r="A161" s="82" t="s">
        <v>45</v>
      </c>
      <c r="B161" s="83"/>
      <c r="C161" s="12">
        <v>0.30449999999999999</v>
      </c>
      <c r="D161" s="40">
        <f>SUM(D155:D160)</f>
        <v>850.50816773726785</v>
      </c>
      <c r="E161" s="31"/>
    </row>
    <row r="162" spans="1:5" x14ac:dyDescent="0.3">
      <c r="D162" s="31"/>
    </row>
    <row r="164" spans="1:5" x14ac:dyDescent="0.3">
      <c r="A164" s="81" t="s">
        <v>70</v>
      </c>
      <c r="B164" s="81"/>
      <c r="C164" s="81"/>
    </row>
    <row r="165" spans="1:5" ht="16.2" thickBot="1" x14ac:dyDescent="0.35"/>
    <row r="166" spans="1:5" ht="16.2" thickBot="1" x14ac:dyDescent="0.35">
      <c r="A166" s="7"/>
      <c r="B166" s="8" t="s">
        <v>71</v>
      </c>
      <c r="C166" s="8" t="s">
        <v>16</v>
      </c>
    </row>
    <row r="167" spans="1:5" ht="16.2" thickBot="1" x14ac:dyDescent="0.35">
      <c r="A167" s="16" t="s">
        <v>17</v>
      </c>
      <c r="B167" s="10" t="s">
        <v>14</v>
      </c>
      <c r="C167" s="39">
        <f>C36</f>
        <v>1098.3399999999999</v>
      </c>
    </row>
    <row r="168" spans="1:5" ht="16.2" thickBot="1" x14ac:dyDescent="0.35">
      <c r="A168" s="16" t="s">
        <v>19</v>
      </c>
      <c r="B168" s="10" t="s">
        <v>29</v>
      </c>
      <c r="C168" s="39">
        <f>C79</f>
        <v>1122.2471599999999</v>
      </c>
    </row>
    <row r="169" spans="1:5" ht="16.2" thickBot="1" x14ac:dyDescent="0.35">
      <c r="A169" s="16" t="s">
        <v>21</v>
      </c>
      <c r="B169" s="10" t="s">
        <v>53</v>
      </c>
      <c r="C169" s="39">
        <f>C91</f>
        <v>256.95158375883199</v>
      </c>
    </row>
    <row r="170" spans="1:5" ht="16.2" thickBot="1" x14ac:dyDescent="0.35">
      <c r="A170" s="16" t="s">
        <v>23</v>
      </c>
      <c r="B170" s="10" t="s">
        <v>60</v>
      </c>
      <c r="C170" s="39">
        <f>C121</f>
        <v>200.88572339603206</v>
      </c>
    </row>
    <row r="171" spans="1:5" ht="16.2" thickBot="1" x14ac:dyDescent="0.35">
      <c r="A171" s="16" t="s">
        <v>24</v>
      </c>
      <c r="B171" s="10" t="s">
        <v>65</v>
      </c>
      <c r="C171" s="39">
        <f>C149</f>
        <v>329.82408333333336</v>
      </c>
    </row>
    <row r="172" spans="1:5" ht="16.2" thickBot="1" x14ac:dyDescent="0.35">
      <c r="A172" s="82" t="s">
        <v>72</v>
      </c>
      <c r="B172" s="83"/>
      <c r="C172" s="39">
        <f>SUM(C167:C171)</f>
        <v>3008.2485504881975</v>
      </c>
    </row>
    <row r="173" spans="1:5" ht="16.2" thickBot="1" x14ac:dyDescent="0.35">
      <c r="A173" s="16" t="s">
        <v>26</v>
      </c>
      <c r="B173" s="10" t="s">
        <v>73</v>
      </c>
      <c r="C173" s="39">
        <f>D161</f>
        <v>850.50816773726785</v>
      </c>
    </row>
    <row r="174" spans="1:5" ht="16.2" thickBot="1" x14ac:dyDescent="0.35">
      <c r="A174" s="82" t="s">
        <v>74</v>
      </c>
      <c r="B174" s="83"/>
      <c r="C174" s="39">
        <f>C172+C173</f>
        <v>3858.7567182254652</v>
      </c>
    </row>
    <row r="177" spans="1:5" x14ac:dyDescent="0.3">
      <c r="A177" t="s">
        <v>319</v>
      </c>
      <c r="B177"/>
      <c r="C177"/>
      <c r="D177"/>
      <c r="E177"/>
    </row>
    <row r="178" spans="1:5" x14ac:dyDescent="0.3">
      <c r="A178"/>
      <c r="B178"/>
      <c r="C178"/>
      <c r="D178"/>
      <c r="E178"/>
    </row>
    <row r="179" spans="1:5" x14ac:dyDescent="0.3">
      <c r="A179" s="48"/>
      <c r="B179" s="48" t="s">
        <v>120</v>
      </c>
      <c r="C179" s="48" t="s">
        <v>120</v>
      </c>
      <c r="D179" s="50"/>
    </row>
    <row r="180" spans="1:5" x14ac:dyDescent="0.3">
      <c r="A180" s="51"/>
      <c r="B180" s="51" t="s">
        <v>121</v>
      </c>
      <c r="C180" s="51" t="s">
        <v>121</v>
      </c>
      <c r="D180" s="50"/>
    </row>
    <row r="181" spans="1:5" x14ac:dyDescent="0.3">
      <c r="B181" s="15" t="s">
        <v>144</v>
      </c>
      <c r="C181" s="15" t="s">
        <v>122</v>
      </c>
      <c r="D181" s="50"/>
    </row>
    <row r="182" spans="1:5" x14ac:dyDescent="0.3">
      <c r="A182" s="3"/>
      <c r="B182" s="51" t="s">
        <v>123</v>
      </c>
      <c r="C182" s="51" t="s">
        <v>142</v>
      </c>
      <c r="D182" s="50"/>
    </row>
    <row r="183" spans="1:5" x14ac:dyDescent="0.3">
      <c r="A183" s="1"/>
      <c r="B183" s="1" t="s">
        <v>124</v>
      </c>
      <c r="C183" s="1" t="s">
        <v>143</v>
      </c>
      <c r="D183" s="50"/>
    </row>
    <row r="185" spans="1:5" x14ac:dyDescent="0.3">
      <c r="B185" s="48"/>
    </row>
    <row r="186" spans="1:5" x14ac:dyDescent="0.3">
      <c r="B186" s="51"/>
    </row>
    <row r="188" spans="1:5" x14ac:dyDescent="0.3">
      <c r="B188" s="51"/>
    </row>
    <row r="189" spans="1:5" x14ac:dyDescent="0.3">
      <c r="B189" s="1"/>
    </row>
  </sheetData>
  <mergeCells count="47">
    <mergeCell ref="A152:C152"/>
    <mergeCell ref="A161:B161"/>
    <mergeCell ref="A164:C164"/>
    <mergeCell ref="A172:B172"/>
    <mergeCell ref="A174:B174"/>
    <mergeCell ref="A149:B149"/>
    <mergeCell ref="A94:C94"/>
    <mergeCell ref="A97:C97"/>
    <mergeCell ref="A106:B106"/>
    <mergeCell ref="A109:C109"/>
    <mergeCell ref="A113:B113"/>
    <mergeCell ref="A116:C116"/>
    <mergeCell ref="A121:B121"/>
    <mergeCell ref="A124:C124"/>
    <mergeCell ref="A126:E126"/>
    <mergeCell ref="A141:B141"/>
    <mergeCell ref="A142:B142"/>
    <mergeCell ref="A91:B91"/>
    <mergeCell ref="A36:B36"/>
    <mergeCell ref="A39:C39"/>
    <mergeCell ref="A41:C41"/>
    <mergeCell ref="A46:B46"/>
    <mergeCell ref="A49:D49"/>
    <mergeCell ref="A60:B60"/>
    <mergeCell ref="A63:C63"/>
    <mergeCell ref="A70:B70"/>
    <mergeCell ref="A73:C73"/>
    <mergeCell ref="A79:B79"/>
    <mergeCell ref="A82:C82"/>
    <mergeCell ref="A27:C27"/>
    <mergeCell ref="C11:E11"/>
    <mergeCell ref="C12:E12"/>
    <mergeCell ref="A14:C14"/>
    <mergeCell ref="C15:E15"/>
    <mergeCell ref="C16:D16"/>
    <mergeCell ref="A18:E18"/>
    <mergeCell ref="A19:E19"/>
    <mergeCell ref="C20:E20"/>
    <mergeCell ref="C21:E21"/>
    <mergeCell ref="C22:E22"/>
    <mergeCell ref="C23:E23"/>
    <mergeCell ref="C10:E10"/>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7F607-488B-4C48-A1D2-1C865E0B37CB}">
  <dimension ref="A1:H39"/>
  <sheetViews>
    <sheetView zoomScaleNormal="100" zoomScaleSheetLayoutView="70" workbookViewId="0">
      <selection sqref="A1:H39"/>
    </sheetView>
  </sheetViews>
  <sheetFormatPr defaultRowHeight="14.4" x14ac:dyDescent="0.3"/>
  <cols>
    <col min="2" max="2" width="43.44140625" customWidth="1"/>
    <col min="5" max="5" width="10.44140625" customWidth="1"/>
    <col min="6" max="6" width="13.33203125" bestFit="1" customWidth="1"/>
    <col min="7" max="7" width="17.6640625" customWidth="1"/>
  </cols>
  <sheetData>
    <row r="1" spans="1:8" ht="15" customHeight="1" x14ac:dyDescent="0.3">
      <c r="A1" s="102" t="s">
        <v>287</v>
      </c>
      <c r="B1" s="103"/>
      <c r="C1" s="103"/>
      <c r="D1" s="103"/>
      <c r="E1" s="103"/>
      <c r="F1" s="103"/>
      <c r="G1" s="103"/>
      <c r="H1" s="103"/>
    </row>
    <row r="2" spans="1:8" ht="15" customHeight="1" x14ac:dyDescent="0.3">
      <c r="A2" s="104"/>
      <c r="B2" s="105"/>
      <c r="C2" s="105"/>
      <c r="D2" s="105"/>
      <c r="E2" s="105"/>
      <c r="F2" s="105"/>
      <c r="G2" s="105"/>
      <c r="H2" s="105"/>
    </row>
    <row r="3" spans="1:8" ht="15.6" x14ac:dyDescent="0.3">
      <c r="A3" s="100" t="s">
        <v>119</v>
      </c>
      <c r="B3" s="100" t="s">
        <v>125</v>
      </c>
      <c r="C3" s="100" t="s">
        <v>126</v>
      </c>
      <c r="D3" s="100" t="s">
        <v>127</v>
      </c>
      <c r="E3" s="100" t="s">
        <v>265</v>
      </c>
      <c r="F3" s="100" t="s">
        <v>129</v>
      </c>
      <c r="G3" s="100"/>
      <c r="H3" s="100" t="s">
        <v>128</v>
      </c>
    </row>
    <row r="4" spans="1:8" ht="15.6" x14ac:dyDescent="0.3">
      <c r="A4" s="101"/>
      <c r="B4" s="101"/>
      <c r="C4" s="101"/>
      <c r="D4" s="101"/>
      <c r="E4" s="101"/>
      <c r="F4" s="43" t="s">
        <v>130</v>
      </c>
      <c r="G4" s="43" t="s">
        <v>131</v>
      </c>
      <c r="H4" s="101"/>
    </row>
    <row r="5" spans="1:8" ht="39.6" x14ac:dyDescent="0.3">
      <c r="A5" s="52">
        <v>1</v>
      </c>
      <c r="B5" s="46" t="s">
        <v>268</v>
      </c>
      <c r="C5" s="45" t="s">
        <v>133</v>
      </c>
      <c r="D5" s="70">
        <v>1</v>
      </c>
      <c r="E5" s="70">
        <v>60</v>
      </c>
      <c r="F5" s="63">
        <v>2020</v>
      </c>
      <c r="G5" s="75">
        <f>D5*F5/E5</f>
        <v>33.666666666666664</v>
      </c>
      <c r="H5" s="18"/>
    </row>
    <row r="6" spans="1:8" ht="39.6" x14ac:dyDescent="0.3">
      <c r="A6" s="52">
        <v>2</v>
      </c>
      <c r="B6" s="44" t="s">
        <v>269</v>
      </c>
      <c r="C6" s="45" t="s">
        <v>133</v>
      </c>
      <c r="D6" s="70">
        <v>2</v>
      </c>
      <c r="E6" s="70">
        <v>60</v>
      </c>
      <c r="F6" s="63">
        <v>2345.06</v>
      </c>
      <c r="G6" s="75">
        <f t="shared" ref="G6:G22" si="0">D6*F6/E6</f>
        <v>78.168666666666667</v>
      </c>
      <c r="H6" s="18"/>
    </row>
    <row r="7" spans="1:8" ht="52.8" x14ac:dyDescent="0.3">
      <c r="A7" s="52">
        <v>3</v>
      </c>
      <c r="B7" s="46" t="s">
        <v>270</v>
      </c>
      <c r="C7" s="45" t="s">
        <v>133</v>
      </c>
      <c r="D7" s="70">
        <v>1</v>
      </c>
      <c r="E7" s="70">
        <v>96</v>
      </c>
      <c r="F7" s="63">
        <f>(79990+86990+86990)/3</f>
        <v>84656.666666666672</v>
      </c>
      <c r="G7" s="75">
        <f>D7*F7/E7</f>
        <v>881.84027777777783</v>
      </c>
      <c r="H7" s="18"/>
    </row>
    <row r="8" spans="1:8" ht="39.6" x14ac:dyDescent="0.3">
      <c r="A8" s="52">
        <v>4</v>
      </c>
      <c r="B8" s="44" t="s">
        <v>271</v>
      </c>
      <c r="C8" s="45" t="s">
        <v>133</v>
      </c>
      <c r="D8" s="70">
        <v>2</v>
      </c>
      <c r="E8" s="70">
        <v>60</v>
      </c>
      <c r="F8" s="63">
        <v>1965.67</v>
      </c>
      <c r="G8" s="75">
        <f t="shared" si="0"/>
        <v>65.522333333333336</v>
      </c>
      <c r="H8" s="18"/>
    </row>
    <row r="9" spans="1:8" ht="26.4" x14ac:dyDescent="0.3">
      <c r="A9" s="52">
        <v>5</v>
      </c>
      <c r="B9" s="44" t="s">
        <v>272</v>
      </c>
      <c r="C9" s="45" t="s">
        <v>133</v>
      </c>
      <c r="D9" s="70">
        <v>4</v>
      </c>
      <c r="E9" s="70">
        <v>60</v>
      </c>
      <c r="F9" s="63">
        <v>685</v>
      </c>
      <c r="G9" s="75">
        <f t="shared" si="0"/>
        <v>45.666666666666664</v>
      </c>
      <c r="H9" s="18"/>
    </row>
    <row r="10" spans="1:8" ht="15.6" x14ac:dyDescent="0.3">
      <c r="A10" s="52">
        <v>6</v>
      </c>
      <c r="B10" s="44" t="s">
        <v>273</v>
      </c>
      <c r="C10" s="45" t="s">
        <v>133</v>
      </c>
      <c r="D10" s="45">
        <v>12</v>
      </c>
      <c r="E10" s="70">
        <v>12</v>
      </c>
      <c r="F10" s="63">
        <v>92.67</v>
      </c>
      <c r="G10" s="75">
        <f>D10*F10/E10</f>
        <v>92.67</v>
      </c>
      <c r="H10" s="18"/>
    </row>
    <row r="11" spans="1:8" ht="15.6" x14ac:dyDescent="0.3">
      <c r="A11" s="52">
        <v>7</v>
      </c>
      <c r="B11" s="44" t="s">
        <v>274</v>
      </c>
      <c r="C11" s="45" t="s">
        <v>133</v>
      </c>
      <c r="D11" s="45">
        <v>36</v>
      </c>
      <c r="E11" s="70">
        <v>12</v>
      </c>
      <c r="F11" s="63">
        <v>13.73</v>
      </c>
      <c r="G11" s="75">
        <f t="shared" si="0"/>
        <v>41.190000000000005</v>
      </c>
      <c r="H11" s="18"/>
    </row>
    <row r="12" spans="1:8" ht="15.6" x14ac:dyDescent="0.3">
      <c r="A12" s="52">
        <v>8</v>
      </c>
      <c r="B12" s="44" t="s">
        <v>275</v>
      </c>
      <c r="C12" s="45" t="s">
        <v>133</v>
      </c>
      <c r="D12" s="70">
        <v>60</v>
      </c>
      <c r="E12" s="70">
        <v>12</v>
      </c>
      <c r="F12" s="63">
        <v>41.2</v>
      </c>
      <c r="G12" s="75">
        <f t="shared" si="0"/>
        <v>206</v>
      </c>
      <c r="H12" s="18"/>
    </row>
    <row r="13" spans="1:8" ht="26.4" x14ac:dyDescent="0.3">
      <c r="A13" s="52">
        <v>9</v>
      </c>
      <c r="B13" s="44" t="s">
        <v>276</v>
      </c>
      <c r="C13" s="45" t="s">
        <v>133</v>
      </c>
      <c r="D13" s="70">
        <v>72</v>
      </c>
      <c r="E13" s="70">
        <v>12</v>
      </c>
      <c r="F13" s="63">
        <v>5.1100000000000003</v>
      </c>
      <c r="G13" s="75">
        <f t="shared" si="0"/>
        <v>30.66</v>
      </c>
      <c r="H13" s="18"/>
    </row>
    <row r="14" spans="1:8" ht="26.4" x14ac:dyDescent="0.3">
      <c r="A14" s="52">
        <v>10</v>
      </c>
      <c r="B14" s="44" t="s">
        <v>277</v>
      </c>
      <c r="C14" s="45" t="s">
        <v>133</v>
      </c>
      <c r="D14" s="70">
        <v>15</v>
      </c>
      <c r="E14" s="70">
        <v>12</v>
      </c>
      <c r="F14" s="63">
        <v>30.87</v>
      </c>
      <c r="G14" s="75">
        <f t="shared" si="0"/>
        <v>38.587499999999999</v>
      </c>
      <c r="H14" s="18"/>
    </row>
    <row r="15" spans="1:8" ht="26.4" x14ac:dyDescent="0.3">
      <c r="A15" s="52">
        <v>11</v>
      </c>
      <c r="B15" s="44" t="s">
        <v>278</v>
      </c>
      <c r="C15" s="45" t="s">
        <v>133</v>
      </c>
      <c r="D15" s="70">
        <v>2</v>
      </c>
      <c r="E15" s="70">
        <v>24</v>
      </c>
      <c r="F15" s="63">
        <v>238.5</v>
      </c>
      <c r="G15" s="75">
        <f t="shared" si="0"/>
        <v>19.875</v>
      </c>
      <c r="H15" s="18"/>
    </row>
    <row r="16" spans="1:8" ht="26.4" x14ac:dyDescent="0.3">
      <c r="A16" s="52">
        <v>12</v>
      </c>
      <c r="B16" s="44" t="s">
        <v>279</v>
      </c>
      <c r="C16" s="45" t="s">
        <v>286</v>
      </c>
      <c r="D16" s="72">
        <v>1750</v>
      </c>
      <c r="E16" s="70">
        <v>12</v>
      </c>
      <c r="F16" s="63">
        <v>3.99</v>
      </c>
      <c r="G16" s="75">
        <f t="shared" si="0"/>
        <v>581.875</v>
      </c>
      <c r="H16" s="18"/>
    </row>
    <row r="17" spans="1:8" ht="26.4" x14ac:dyDescent="0.3">
      <c r="A17" s="52">
        <v>13</v>
      </c>
      <c r="B17" s="44" t="s">
        <v>280</v>
      </c>
      <c r="C17" s="45" t="s">
        <v>133</v>
      </c>
      <c r="D17" s="70">
        <v>85</v>
      </c>
      <c r="E17" s="70">
        <v>12</v>
      </c>
      <c r="F17" s="63">
        <v>7.14</v>
      </c>
      <c r="G17" s="75">
        <f t="shared" si="0"/>
        <v>50.574999999999996</v>
      </c>
      <c r="H17" s="18"/>
    </row>
    <row r="18" spans="1:8" ht="26.4" x14ac:dyDescent="0.3">
      <c r="A18" s="52">
        <v>14</v>
      </c>
      <c r="B18" s="44" t="s">
        <v>281</v>
      </c>
      <c r="C18" s="45" t="s">
        <v>133</v>
      </c>
      <c r="D18" s="70">
        <v>50</v>
      </c>
      <c r="E18" s="70">
        <v>12</v>
      </c>
      <c r="F18" s="63">
        <v>9.25</v>
      </c>
      <c r="G18" s="75">
        <f t="shared" si="0"/>
        <v>38.541666666666664</v>
      </c>
      <c r="H18" s="18"/>
    </row>
    <row r="19" spans="1:8" ht="79.2" x14ac:dyDescent="0.3">
      <c r="A19" s="52">
        <v>15</v>
      </c>
      <c r="B19" s="44" t="s">
        <v>282</v>
      </c>
      <c r="C19" s="45" t="s">
        <v>133</v>
      </c>
      <c r="D19" s="70">
        <v>2</v>
      </c>
      <c r="E19" s="70">
        <v>48</v>
      </c>
      <c r="F19" s="63">
        <v>950</v>
      </c>
      <c r="G19" s="75">
        <f t="shared" si="0"/>
        <v>39.583333333333336</v>
      </c>
      <c r="H19" s="18"/>
    </row>
    <row r="20" spans="1:8" ht="79.5" customHeight="1" x14ac:dyDescent="0.3">
      <c r="A20" s="52">
        <v>16</v>
      </c>
      <c r="B20" s="44" t="s">
        <v>283</v>
      </c>
      <c r="C20" s="45" t="s">
        <v>133</v>
      </c>
      <c r="D20" s="70">
        <v>4</v>
      </c>
      <c r="E20" s="70">
        <v>60</v>
      </c>
      <c r="F20" s="63">
        <f>(630+600+330.9)/3</f>
        <v>520.30000000000007</v>
      </c>
      <c r="G20" s="75">
        <f t="shared" si="0"/>
        <v>34.686666666666675</v>
      </c>
      <c r="H20" s="18"/>
    </row>
    <row r="21" spans="1:8" ht="26.4" x14ac:dyDescent="0.3">
      <c r="A21" s="52">
        <v>17</v>
      </c>
      <c r="B21" s="44" t="s">
        <v>284</v>
      </c>
      <c r="C21" s="45" t="s">
        <v>133</v>
      </c>
      <c r="D21" s="70">
        <v>2</v>
      </c>
      <c r="E21" s="70">
        <v>12</v>
      </c>
      <c r="F21" s="63">
        <f>(394.2+274+368.91)/3</f>
        <v>345.70333333333338</v>
      </c>
      <c r="G21" s="75">
        <f t="shared" si="0"/>
        <v>57.617222222222232</v>
      </c>
      <c r="H21" s="18"/>
    </row>
    <row r="22" spans="1:8" ht="15.6" x14ac:dyDescent="0.3">
      <c r="A22" s="52">
        <v>18</v>
      </c>
      <c r="B22" s="44" t="s">
        <v>285</v>
      </c>
      <c r="C22" s="45" t="s">
        <v>133</v>
      </c>
      <c r="D22" s="70">
        <v>2</v>
      </c>
      <c r="E22" s="70">
        <v>12</v>
      </c>
      <c r="F22" s="63">
        <v>115</v>
      </c>
      <c r="G22" s="75">
        <f t="shared" si="0"/>
        <v>19.166666666666668</v>
      </c>
      <c r="H22" s="18"/>
    </row>
    <row r="23" spans="1:8" ht="15.6" x14ac:dyDescent="0.3">
      <c r="A23" s="106" t="s">
        <v>262</v>
      </c>
      <c r="B23" s="107"/>
      <c r="C23" s="107"/>
      <c r="D23" s="107"/>
      <c r="E23" s="107"/>
      <c r="F23" s="106"/>
      <c r="G23" s="76">
        <f>SUM(G5:G22)</f>
        <v>2355.8926666666666</v>
      </c>
    </row>
    <row r="24" spans="1:8" ht="15.6" x14ac:dyDescent="0.3">
      <c r="A24" s="106" t="s">
        <v>289</v>
      </c>
      <c r="B24" s="106"/>
      <c r="C24" s="106"/>
      <c r="D24" s="106"/>
      <c r="E24" s="106"/>
      <c r="F24" s="106"/>
      <c r="G24" s="55">
        <f>G23/8</f>
        <v>294.48658333333333</v>
      </c>
    </row>
    <row r="25" spans="1:8" ht="15.6" x14ac:dyDescent="0.3">
      <c r="A25" s="50"/>
      <c r="B25" s="50"/>
      <c r="C25" s="50"/>
      <c r="D25" s="50"/>
      <c r="E25" s="50"/>
      <c r="F25" s="50"/>
      <c r="G25" s="50"/>
    </row>
    <row r="26" spans="1:8" ht="15.6" x14ac:dyDescent="0.3">
      <c r="A26" s="50"/>
      <c r="B26" s="50"/>
      <c r="C26" s="50"/>
      <c r="D26" s="50"/>
      <c r="E26" s="50"/>
      <c r="F26" s="50"/>
      <c r="G26" s="50"/>
    </row>
    <row r="27" spans="1:8" ht="15.6" x14ac:dyDescent="0.3">
      <c r="A27" s="50"/>
      <c r="B27" t="s">
        <v>319</v>
      </c>
      <c r="C27" s="50"/>
      <c r="D27" s="50"/>
      <c r="E27" s="50"/>
      <c r="F27" s="50"/>
      <c r="G27" s="50"/>
    </row>
    <row r="28" spans="1:8" ht="15.6" x14ac:dyDescent="0.3">
      <c r="A28" s="50"/>
      <c r="B28" s="50"/>
      <c r="C28" s="50"/>
      <c r="D28" s="50"/>
      <c r="E28" s="50"/>
      <c r="F28" s="50"/>
      <c r="G28" s="50"/>
    </row>
    <row r="29" spans="1:8" ht="15.6" x14ac:dyDescent="0.3">
      <c r="A29" s="50"/>
      <c r="B29" s="48" t="s">
        <v>120</v>
      </c>
      <c r="C29" s="51"/>
      <c r="D29" s="50"/>
      <c r="E29" s="50"/>
      <c r="F29" s="50"/>
    </row>
    <row r="30" spans="1:8" ht="15.6" x14ac:dyDescent="0.3">
      <c r="A30" s="50"/>
      <c r="B30" s="51" t="s">
        <v>121</v>
      </c>
      <c r="C30" s="51"/>
      <c r="D30" s="50"/>
      <c r="E30" s="50"/>
      <c r="F30" s="50"/>
    </row>
    <row r="31" spans="1:8" ht="15.6" x14ac:dyDescent="0.3">
      <c r="A31" s="50"/>
      <c r="B31" s="15" t="s">
        <v>122</v>
      </c>
      <c r="C31" s="15"/>
      <c r="D31" s="50"/>
      <c r="E31" s="50"/>
      <c r="F31" s="50"/>
    </row>
    <row r="32" spans="1:8" ht="15.6" x14ac:dyDescent="0.3">
      <c r="A32" s="50"/>
      <c r="B32" s="51" t="s">
        <v>123</v>
      </c>
      <c r="C32" s="51"/>
      <c r="D32" s="50"/>
      <c r="E32" s="50"/>
      <c r="F32" s="50"/>
    </row>
    <row r="33" spans="1:6" ht="15.6" x14ac:dyDescent="0.3">
      <c r="A33" s="50"/>
      <c r="B33" s="1" t="s">
        <v>124</v>
      </c>
      <c r="C33" s="1"/>
      <c r="D33" s="1"/>
      <c r="E33" s="50"/>
      <c r="F33" s="50"/>
    </row>
    <row r="35" spans="1:6" x14ac:dyDescent="0.3">
      <c r="B35" s="48" t="s">
        <v>120</v>
      </c>
    </row>
    <row r="36" spans="1:6" ht="15.6" x14ac:dyDescent="0.3">
      <c r="B36" s="51" t="s">
        <v>121</v>
      </c>
    </row>
    <row r="37" spans="1:6" ht="15.6" x14ac:dyDescent="0.3">
      <c r="B37" s="15" t="s">
        <v>122</v>
      </c>
    </row>
    <row r="38" spans="1:6" ht="15.6" x14ac:dyDescent="0.3">
      <c r="B38" s="51" t="s">
        <v>142</v>
      </c>
    </row>
    <row r="39" spans="1:6" ht="15.6" x14ac:dyDescent="0.3">
      <c r="B39" s="1" t="s">
        <v>143</v>
      </c>
    </row>
  </sheetData>
  <mergeCells count="10">
    <mergeCell ref="A23:F23"/>
    <mergeCell ref="A24:F24"/>
    <mergeCell ref="A1:H2"/>
    <mergeCell ref="A3:A4"/>
    <mergeCell ref="B3:B4"/>
    <mergeCell ref="C3:C4"/>
    <mergeCell ref="D3:D4"/>
    <mergeCell ref="E3:E4"/>
    <mergeCell ref="F3:G3"/>
    <mergeCell ref="H3:H4"/>
  </mergeCells>
  <pageMargins left="0.511811024" right="0.511811024" top="0.78740157499999996" bottom="0.78740157499999996" header="0.31496062000000002" footer="0.31496062000000002"/>
  <pageSetup paperSize="9" scale="77"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1"/>
  <sheetViews>
    <sheetView showGridLines="0" zoomScale="115" zoomScaleNormal="115" workbookViewId="0">
      <selection sqref="A1:E181"/>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92</v>
      </c>
      <c r="D16" s="90"/>
      <c r="E16" s="27">
        <v>1</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1580.97</v>
      </c>
      <c r="D21" s="94"/>
      <c r="E21" s="94"/>
    </row>
    <row r="22" spans="1:5" x14ac:dyDescent="0.3">
      <c r="A22" s="22">
        <v>3</v>
      </c>
      <c r="B22" s="29" t="s">
        <v>97</v>
      </c>
      <c r="C22" s="95" t="s">
        <v>98</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1580.97</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1580.97</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131.7475</v>
      </c>
    </row>
    <row r="45" spans="1:3" ht="16.2" thickBot="1" x14ac:dyDescent="0.35">
      <c r="A45" s="9" t="s">
        <v>19</v>
      </c>
      <c r="B45" s="10" t="s">
        <v>34</v>
      </c>
      <c r="C45" s="30">
        <f>C36*(1/12)+C36*(1/3)*(1/12)</f>
        <v>175.66333333333333</v>
      </c>
    </row>
    <row r="46" spans="1:3" ht="16.2" thickBot="1" x14ac:dyDescent="0.35">
      <c r="A46" s="82" t="s">
        <v>2</v>
      </c>
      <c r="B46" s="83"/>
      <c r="C46" s="30">
        <f>SUM(C44:C45)</f>
        <v>307.41083333333336</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377.67616666666669</v>
      </c>
    </row>
    <row r="53" spans="1:4" ht="16.2" thickBot="1" x14ac:dyDescent="0.35">
      <c r="A53" s="9" t="s">
        <v>19</v>
      </c>
      <c r="B53" s="10" t="s">
        <v>40</v>
      </c>
      <c r="C53" s="12">
        <v>2.5000000000000001E-2</v>
      </c>
      <c r="D53" s="30">
        <f t="shared" ref="D53:D60" si="0">($C$36+$C$46)*C53</f>
        <v>47.209520833333336</v>
      </c>
    </row>
    <row r="54" spans="1:4" ht="16.2" thickBot="1" x14ac:dyDescent="0.35">
      <c r="A54" s="9" t="s">
        <v>21</v>
      </c>
      <c r="B54" s="10" t="s">
        <v>41</v>
      </c>
      <c r="C54" s="12">
        <v>0.03</v>
      </c>
      <c r="D54" s="30">
        <f t="shared" si="0"/>
        <v>56.651424999999996</v>
      </c>
    </row>
    <row r="55" spans="1:4" ht="16.2" thickBot="1" x14ac:dyDescent="0.35">
      <c r="A55" s="9" t="s">
        <v>23</v>
      </c>
      <c r="B55" s="10" t="s">
        <v>42</v>
      </c>
      <c r="C55" s="12">
        <v>1.4999999999999999E-2</v>
      </c>
      <c r="D55" s="30">
        <f t="shared" si="0"/>
        <v>28.325712499999998</v>
      </c>
    </row>
    <row r="56" spans="1:4" ht="16.2" thickBot="1" x14ac:dyDescent="0.35">
      <c r="A56" s="9" t="s">
        <v>24</v>
      </c>
      <c r="B56" s="10" t="s">
        <v>43</v>
      </c>
      <c r="C56" s="12">
        <v>0.01</v>
      </c>
      <c r="D56" s="30">
        <f t="shared" si="0"/>
        <v>18.883808333333334</v>
      </c>
    </row>
    <row r="57" spans="1:4" ht="16.2" thickBot="1" x14ac:dyDescent="0.35">
      <c r="A57" s="9" t="s">
        <v>26</v>
      </c>
      <c r="B57" s="10" t="s">
        <v>3</v>
      </c>
      <c r="C57" s="12">
        <v>6.0000000000000001E-3</v>
      </c>
      <c r="D57" s="30">
        <f t="shared" si="0"/>
        <v>11.330285</v>
      </c>
    </row>
    <row r="58" spans="1:4" ht="16.2" thickBot="1" x14ac:dyDescent="0.35">
      <c r="A58" s="9" t="s">
        <v>27</v>
      </c>
      <c r="B58" s="10" t="s">
        <v>4</v>
      </c>
      <c r="C58" s="12">
        <v>2E-3</v>
      </c>
      <c r="D58" s="30">
        <f t="shared" si="0"/>
        <v>3.7767616666666668</v>
      </c>
    </row>
    <row r="59" spans="1:4" ht="16.2" thickBot="1" x14ac:dyDescent="0.35">
      <c r="A59" s="9" t="s">
        <v>44</v>
      </c>
      <c r="B59" s="10" t="s">
        <v>5</v>
      </c>
      <c r="C59" s="12">
        <v>0.08</v>
      </c>
      <c r="D59" s="30">
        <f t="shared" si="0"/>
        <v>151.07046666666668</v>
      </c>
    </row>
    <row r="60" spans="1:4" ht="16.2" thickBot="1" x14ac:dyDescent="0.35">
      <c r="A60" s="82" t="s">
        <v>45</v>
      </c>
      <c r="B60" s="83"/>
      <c r="C60" s="12">
        <f>SUM(C52:C59)</f>
        <v>0.36800000000000005</v>
      </c>
      <c r="D60" s="30">
        <f t="shared" si="0"/>
        <v>694.92414666666673</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72.341799999999992</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396.9418</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307.41083333333336</v>
      </c>
    </row>
    <row r="77" spans="1:3" ht="16.2" thickBot="1" x14ac:dyDescent="0.35">
      <c r="A77" s="9" t="s">
        <v>36</v>
      </c>
      <c r="B77" s="10" t="s">
        <v>37</v>
      </c>
      <c r="C77" s="30">
        <f>D60</f>
        <v>694.92414666666673</v>
      </c>
    </row>
    <row r="78" spans="1:3" ht="16.2" thickBot="1" x14ac:dyDescent="0.35">
      <c r="A78" s="9" t="s">
        <v>47</v>
      </c>
      <c r="B78" s="10" t="s">
        <v>48</v>
      </c>
      <c r="C78" s="30">
        <f>C70</f>
        <v>396.9418</v>
      </c>
    </row>
    <row r="79" spans="1:3" ht="16.2" thickBot="1" x14ac:dyDescent="0.35">
      <c r="A79" s="82" t="s">
        <v>2</v>
      </c>
      <c r="B79" s="83"/>
      <c r="C79" s="30">
        <f>SUM(C76:C78)</f>
        <v>1399.2767800000001</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85.131635569166662</v>
      </c>
    </row>
    <row r="86" spans="1:4" ht="16.2" thickBot="1" x14ac:dyDescent="0.35">
      <c r="A86" s="9" t="s">
        <v>19</v>
      </c>
      <c r="B86" s="13" t="s">
        <v>56</v>
      </c>
      <c r="C86" s="30">
        <f>C85*8%</f>
        <v>6.8105308455333331</v>
      </c>
    </row>
    <row r="87" spans="1:4" ht="16.2" thickBot="1" x14ac:dyDescent="0.35">
      <c r="A87" s="9" t="s">
        <v>21</v>
      </c>
      <c r="B87" s="13" t="s">
        <v>57</v>
      </c>
      <c r="C87" s="30">
        <f>($C$36+$C$46+$D$59+$C$70)*(50%*(40%+10%)*8%)</f>
        <v>48.727862000000009</v>
      </c>
      <c r="D87" s="31"/>
    </row>
    <row r="88" spans="1:4" ht="16.2" thickBot="1" x14ac:dyDescent="0.35">
      <c r="A88" s="9" t="s">
        <v>23</v>
      </c>
      <c r="B88" s="13" t="s">
        <v>58</v>
      </c>
      <c r="C88" s="30">
        <f>($C$36+$C$79)*(41.93%*(1/12))</f>
        <v>104.13478957116666</v>
      </c>
    </row>
    <row r="89" spans="1:4" ht="31.8" thickBot="1" x14ac:dyDescent="0.35">
      <c r="A89" s="9" t="s">
        <v>24</v>
      </c>
      <c r="B89" s="13" t="s">
        <v>102</v>
      </c>
      <c r="C89" s="30">
        <f>$C$60*$C$88</f>
        <v>38.321602562189341</v>
      </c>
    </row>
    <row r="90" spans="1:4" ht="16.2" thickBot="1" x14ac:dyDescent="0.35">
      <c r="A90" s="9" t="s">
        <v>26</v>
      </c>
      <c r="B90" s="13" t="s">
        <v>59</v>
      </c>
      <c r="C90" s="30">
        <f>($C$36+$C$79)*(50%*(40%+10%)*8%)</f>
        <v>59.604935600000012</v>
      </c>
      <c r="D90" s="31"/>
    </row>
    <row r="91" spans="1:4" ht="16.2" thickBot="1" x14ac:dyDescent="0.35">
      <c r="A91" s="82" t="s">
        <v>2</v>
      </c>
      <c r="B91" s="83"/>
      <c r="C91" s="30">
        <f>SUM(C85:C90)</f>
        <v>342.73135614805602</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191.18477791483164</v>
      </c>
    </row>
    <row r="101" spans="1:3" ht="16.2" thickBot="1" x14ac:dyDescent="0.35">
      <c r="A101" s="9" t="s">
        <v>19</v>
      </c>
      <c r="B101" s="10" t="s">
        <v>104</v>
      </c>
      <c r="C101" s="30">
        <f>(((C36+C79+C91)/30)*(1+3.4521+0.3044+0.0427+0.037+0.02+0.004+0.001))/12</f>
        <v>44.871281431785917</v>
      </c>
    </row>
    <row r="102" spans="1:3" ht="16.2" thickBot="1" x14ac:dyDescent="0.35">
      <c r="A102" s="9" t="s">
        <v>21</v>
      </c>
      <c r="B102" s="10" t="s">
        <v>105</v>
      </c>
      <c r="C102" s="30">
        <f>(((C36+C79+C91)/30)*0.1892)/12</f>
        <v>1.7464096204422563</v>
      </c>
    </row>
    <row r="103" spans="1:3" ht="16.2" thickBot="1" x14ac:dyDescent="0.35">
      <c r="A103" s="9" t="s">
        <v>23</v>
      </c>
      <c r="B103" s="10" t="s">
        <v>106</v>
      </c>
      <c r="C103" s="30">
        <f>(((C36+C79+C91)/30)*0.9548)/12</f>
        <v>8.8132764566504562</v>
      </c>
    </row>
    <row r="104" spans="1:3" ht="16.2" thickBot="1" x14ac:dyDescent="0.35">
      <c r="A104" s="9" t="s">
        <v>24</v>
      </c>
      <c r="B104" s="10" t="s">
        <v>107</v>
      </c>
      <c r="C104" s="30">
        <f>(((C36+C79+C91)/30)*2.4723)/12</f>
        <v>22.820552349996778</v>
      </c>
    </row>
    <row r="105" spans="1:3" ht="16.2" thickBot="1" x14ac:dyDescent="0.35">
      <c r="A105" s="9" t="s">
        <v>26</v>
      </c>
      <c r="B105" s="10" t="s">
        <v>108</v>
      </c>
      <c r="C105" s="30"/>
    </row>
    <row r="106" spans="1:3" ht="16.2" thickBot="1" x14ac:dyDescent="0.35">
      <c r="A106" s="82" t="s">
        <v>45</v>
      </c>
      <c r="B106" s="83"/>
      <c r="C106" s="30">
        <f>SUM(C100:C105)</f>
        <v>269.43629777370705</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269.43629777370705</v>
      </c>
    </row>
    <row r="120" spans="1:5" ht="16.2" thickBot="1" x14ac:dyDescent="0.35">
      <c r="A120" s="9" t="s">
        <v>62</v>
      </c>
      <c r="B120" s="10" t="s">
        <v>113</v>
      </c>
      <c r="C120" s="30">
        <f>C113</f>
        <v>0</v>
      </c>
    </row>
    <row r="121" spans="1:5" ht="16.2" thickBot="1" x14ac:dyDescent="0.35">
      <c r="A121" s="82" t="s">
        <v>2</v>
      </c>
      <c r="B121" s="83"/>
      <c r="C121" s="30">
        <f>SUM(C119:C120)</f>
        <v>269.43629777370705</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2" si="1">C129*D129</f>
        <v>88.84</v>
      </c>
    </row>
    <row r="130" spans="1:5" ht="16.2" thickBot="1" x14ac:dyDescent="0.35">
      <c r="A130" s="61">
        <v>3</v>
      </c>
      <c r="B130" s="36" t="s">
        <v>149</v>
      </c>
      <c r="C130" s="66">
        <v>4</v>
      </c>
      <c r="D130" s="67">
        <v>15</v>
      </c>
      <c r="E130" s="6">
        <f t="shared" si="1"/>
        <v>60</v>
      </c>
    </row>
    <row r="131" spans="1:5" ht="16.2" thickBot="1" x14ac:dyDescent="0.35">
      <c r="A131" s="61">
        <v>4</v>
      </c>
      <c r="B131" s="36" t="s">
        <v>150</v>
      </c>
      <c r="C131" s="66">
        <v>1</v>
      </c>
      <c r="D131" s="67">
        <v>45.29</v>
      </c>
      <c r="E131" s="6">
        <f t="shared" si="1"/>
        <v>45.29</v>
      </c>
    </row>
    <row r="132" spans="1:5" ht="16.2" thickBot="1" x14ac:dyDescent="0.35">
      <c r="A132" s="61">
        <v>5</v>
      </c>
      <c r="B132" s="36" t="s">
        <v>151</v>
      </c>
      <c r="C132" s="66">
        <v>1</v>
      </c>
      <c r="D132" s="67">
        <v>20.309999999999999</v>
      </c>
      <c r="E132" s="6">
        <f t="shared" si="1"/>
        <v>20.309999999999999</v>
      </c>
    </row>
    <row r="133" spans="1:5" ht="16.2" thickBot="1" x14ac:dyDescent="0.35">
      <c r="A133" s="87" t="s">
        <v>114</v>
      </c>
      <c r="B133" s="88"/>
      <c r="C133" s="5"/>
      <c r="D133" s="5"/>
      <c r="E133" s="37">
        <f>SUM(E128:E132)</f>
        <v>307</v>
      </c>
    </row>
    <row r="134" spans="1:5" ht="16.2" thickBot="1" x14ac:dyDescent="0.35">
      <c r="A134" s="87" t="s">
        <v>115</v>
      </c>
      <c r="B134" s="88"/>
      <c r="C134" s="5"/>
      <c r="D134" s="5"/>
      <c r="E134" s="37">
        <f>E133/12</f>
        <v>25.583333333333332</v>
      </c>
    </row>
    <row r="135" spans="1:5" ht="16.2" thickBot="1" x14ac:dyDescent="0.35">
      <c r="A135" s="59"/>
      <c r="B135" s="59"/>
      <c r="C135" s="59"/>
    </row>
    <row r="136" spans="1:5" ht="16.2" thickBot="1" x14ac:dyDescent="0.35">
      <c r="A136" s="7">
        <v>5</v>
      </c>
      <c r="B136" s="14" t="s">
        <v>6</v>
      </c>
      <c r="C136" s="8" t="s">
        <v>16</v>
      </c>
    </row>
    <row r="137" spans="1:5" ht="16.2" thickBot="1" x14ac:dyDescent="0.35">
      <c r="A137" s="9" t="s">
        <v>17</v>
      </c>
      <c r="B137" s="10" t="s">
        <v>66</v>
      </c>
      <c r="C137" s="30">
        <f>E134</f>
        <v>25.583333333333332</v>
      </c>
    </row>
    <row r="138" spans="1:5" ht="16.2" thickBot="1" x14ac:dyDescent="0.35">
      <c r="A138" s="9" t="s">
        <v>19</v>
      </c>
      <c r="B138" s="10" t="s">
        <v>67</v>
      </c>
      <c r="C138" s="30">
        <f>'Materiais Uso Coletivo'!G7</f>
        <v>0.48458333333333337</v>
      </c>
    </row>
    <row r="139" spans="1:5" ht="16.2" thickBot="1" x14ac:dyDescent="0.35">
      <c r="A139" s="9" t="s">
        <v>21</v>
      </c>
      <c r="B139" s="10" t="s">
        <v>68</v>
      </c>
      <c r="C139" s="30">
        <v>0</v>
      </c>
    </row>
    <row r="140" spans="1:5" ht="16.2" thickBot="1" x14ac:dyDescent="0.35">
      <c r="A140" s="9" t="s">
        <v>23</v>
      </c>
      <c r="B140" s="10" t="s">
        <v>28</v>
      </c>
      <c r="C140" s="30"/>
    </row>
    <row r="141" spans="1:5" ht="16.2" thickBot="1" x14ac:dyDescent="0.35">
      <c r="A141" s="82" t="s">
        <v>45</v>
      </c>
      <c r="B141" s="83"/>
      <c r="C141" s="30">
        <f>SUM(C137:C140)</f>
        <v>26.067916666666665</v>
      </c>
    </row>
    <row r="144" spans="1:5" x14ac:dyDescent="0.3">
      <c r="A144" s="81" t="s">
        <v>69</v>
      </c>
      <c r="B144" s="81"/>
      <c r="C144" s="81"/>
    </row>
    <row r="145" spans="1:5" ht="16.2" thickBot="1" x14ac:dyDescent="0.35"/>
    <row r="146" spans="1:5" ht="16.2" thickBot="1" x14ac:dyDescent="0.35">
      <c r="A146" s="7">
        <v>6</v>
      </c>
      <c r="B146" s="14" t="s">
        <v>7</v>
      </c>
      <c r="C146" s="8" t="s">
        <v>38</v>
      </c>
      <c r="D146" s="8" t="s">
        <v>16</v>
      </c>
    </row>
    <row r="147" spans="1:5" ht="16.2" thickBot="1" x14ac:dyDescent="0.35">
      <c r="A147" s="9" t="s">
        <v>17</v>
      </c>
      <c r="B147" s="10" t="s">
        <v>8</v>
      </c>
      <c r="C147" s="42">
        <v>0.03</v>
      </c>
      <c r="D147" s="40">
        <f>C164*C147</f>
        <v>108.5544705176529</v>
      </c>
    </row>
    <row r="148" spans="1:5" ht="16.2" thickBot="1" x14ac:dyDescent="0.35">
      <c r="A148" s="9" t="s">
        <v>19</v>
      </c>
      <c r="B148" s="10" t="s">
        <v>10</v>
      </c>
      <c r="C148" s="42">
        <v>6.7900000000000002E-2</v>
      </c>
      <c r="D148" s="40">
        <f>(C164+D147)*C148</f>
        <v>253.06580015310305</v>
      </c>
    </row>
    <row r="149" spans="1:5" ht="16.2" thickBot="1" x14ac:dyDescent="0.35">
      <c r="A149" s="9" t="s">
        <v>21</v>
      </c>
      <c r="B149" s="10" t="s">
        <v>9</v>
      </c>
      <c r="C149" s="38">
        <v>0.14249999999999999</v>
      </c>
      <c r="D149" s="41"/>
      <c r="E149" s="31">
        <f>(C164+D147+D148)/(1-C149)</f>
        <v>4641.5190918474473</v>
      </c>
    </row>
    <row r="150" spans="1:5" ht="16.2" thickBot="1" x14ac:dyDescent="0.35">
      <c r="A150" s="9"/>
      <c r="B150" s="10" t="s">
        <v>117</v>
      </c>
      <c r="C150" s="42">
        <v>1.6500000000000001E-2</v>
      </c>
      <c r="D150" s="40">
        <f>$E$149*C150</f>
        <v>76.585065015482883</v>
      </c>
    </row>
    <row r="151" spans="1:5" ht="16.2" thickBot="1" x14ac:dyDescent="0.35">
      <c r="A151" s="9"/>
      <c r="B151" s="10" t="s">
        <v>118</v>
      </c>
      <c r="C151" s="42">
        <v>7.5999999999999998E-2</v>
      </c>
      <c r="D151" s="40">
        <f>$E$149*C151</f>
        <v>352.75545098040601</v>
      </c>
    </row>
    <row r="152" spans="1:5" ht="16.2" thickBot="1" x14ac:dyDescent="0.35">
      <c r="A152" s="9"/>
      <c r="B152" s="10" t="s">
        <v>116</v>
      </c>
      <c r="C152" s="42">
        <v>0.05</v>
      </c>
      <c r="D152" s="40">
        <f t="shared" ref="D152" si="2">$E$149*C152</f>
        <v>232.07595459237237</v>
      </c>
    </row>
    <row r="153" spans="1:5" ht="16.2" thickBot="1" x14ac:dyDescent="0.35">
      <c r="A153" s="82" t="s">
        <v>45</v>
      </c>
      <c r="B153" s="83"/>
      <c r="C153" s="12">
        <v>0.30449999999999999</v>
      </c>
      <c r="D153" s="40">
        <f>SUM(D147:D152)</f>
        <v>1023.0367412590173</v>
      </c>
      <c r="E153" s="31"/>
    </row>
    <row r="154" spans="1:5" x14ac:dyDescent="0.3">
      <c r="D154" s="31"/>
    </row>
    <row r="156" spans="1:5" x14ac:dyDescent="0.3">
      <c r="A156" s="81" t="s">
        <v>70</v>
      </c>
      <c r="B156" s="81"/>
      <c r="C156" s="81"/>
    </row>
    <row r="157" spans="1:5" ht="16.2" thickBot="1" x14ac:dyDescent="0.35"/>
    <row r="158" spans="1:5" ht="16.2" thickBot="1" x14ac:dyDescent="0.35">
      <c r="A158" s="7"/>
      <c r="B158" s="8" t="s">
        <v>71</v>
      </c>
      <c r="C158" s="8" t="s">
        <v>16</v>
      </c>
    </row>
    <row r="159" spans="1:5" ht="16.2" thickBot="1" x14ac:dyDescent="0.35">
      <c r="A159" s="16" t="s">
        <v>17</v>
      </c>
      <c r="B159" s="10" t="s">
        <v>14</v>
      </c>
      <c r="C159" s="39">
        <f>C36</f>
        <v>1580.97</v>
      </c>
    </row>
    <row r="160" spans="1:5" ht="16.2" thickBot="1" x14ac:dyDescent="0.35">
      <c r="A160" s="16" t="s">
        <v>19</v>
      </c>
      <c r="B160" s="10" t="s">
        <v>29</v>
      </c>
      <c r="C160" s="39">
        <f>C79</f>
        <v>1399.2767800000001</v>
      </c>
    </row>
    <row r="161" spans="1:5" ht="16.2" thickBot="1" x14ac:dyDescent="0.35">
      <c r="A161" s="16" t="s">
        <v>21</v>
      </c>
      <c r="B161" s="10" t="s">
        <v>53</v>
      </c>
      <c r="C161" s="39">
        <f>C91</f>
        <v>342.73135614805602</v>
      </c>
    </row>
    <row r="162" spans="1:5" ht="16.2" thickBot="1" x14ac:dyDescent="0.35">
      <c r="A162" s="16" t="s">
        <v>23</v>
      </c>
      <c r="B162" s="10" t="s">
        <v>60</v>
      </c>
      <c r="C162" s="39">
        <f>C121</f>
        <v>269.43629777370705</v>
      </c>
    </row>
    <row r="163" spans="1:5" ht="16.2" thickBot="1" x14ac:dyDescent="0.35">
      <c r="A163" s="16" t="s">
        <v>24</v>
      </c>
      <c r="B163" s="10" t="s">
        <v>65</v>
      </c>
      <c r="C163" s="39">
        <f>C141</f>
        <v>26.067916666666665</v>
      </c>
    </row>
    <row r="164" spans="1:5" ht="16.2" thickBot="1" x14ac:dyDescent="0.35">
      <c r="A164" s="82" t="s">
        <v>72</v>
      </c>
      <c r="B164" s="83"/>
      <c r="C164" s="39">
        <f>SUM(C159:C163)</f>
        <v>3618.4823505884301</v>
      </c>
    </row>
    <row r="165" spans="1:5" ht="16.2" thickBot="1" x14ac:dyDescent="0.35">
      <c r="A165" s="16" t="s">
        <v>26</v>
      </c>
      <c r="B165" s="10" t="s">
        <v>73</v>
      </c>
      <c r="C165" s="39">
        <f>D153</f>
        <v>1023.0367412590173</v>
      </c>
    </row>
    <row r="166" spans="1:5" ht="16.2" thickBot="1" x14ac:dyDescent="0.35">
      <c r="A166" s="82" t="s">
        <v>74</v>
      </c>
      <c r="B166" s="83"/>
      <c r="C166" s="39">
        <f>C164+C165</f>
        <v>4641.5190918474473</v>
      </c>
    </row>
    <row r="169" spans="1:5" x14ac:dyDescent="0.3">
      <c r="A169" t="s">
        <v>319</v>
      </c>
      <c r="B169"/>
      <c r="C169"/>
      <c r="D169"/>
      <c r="E169"/>
    </row>
    <row r="170" spans="1:5" x14ac:dyDescent="0.3">
      <c r="A170"/>
      <c r="B170"/>
      <c r="C170"/>
      <c r="D170"/>
      <c r="E170"/>
    </row>
    <row r="171" spans="1:5" x14ac:dyDescent="0.3">
      <c r="A171" s="48"/>
      <c r="B171" s="48" t="s">
        <v>120</v>
      </c>
      <c r="C171" s="49"/>
      <c r="D171" s="50"/>
    </row>
    <row r="172" spans="1:5" x14ac:dyDescent="0.3">
      <c r="A172" s="51"/>
      <c r="B172" s="51" t="s">
        <v>121</v>
      </c>
      <c r="C172" s="50"/>
      <c r="D172" s="50"/>
    </row>
    <row r="173" spans="1:5" x14ac:dyDescent="0.3">
      <c r="B173" s="15" t="s">
        <v>144</v>
      </c>
      <c r="C173" s="50"/>
      <c r="D173" s="50"/>
    </row>
    <row r="174" spans="1:5" x14ac:dyDescent="0.3">
      <c r="A174" s="3"/>
      <c r="B174" s="51" t="s">
        <v>123</v>
      </c>
      <c r="C174" s="50"/>
      <c r="D174" s="50"/>
    </row>
    <row r="175" spans="1:5" x14ac:dyDescent="0.3">
      <c r="A175" s="1"/>
      <c r="B175" s="1" t="s">
        <v>124</v>
      </c>
      <c r="C175" s="1"/>
      <c r="D175" s="50"/>
    </row>
    <row r="177" spans="2:2" x14ac:dyDescent="0.3">
      <c r="B177" s="48" t="s">
        <v>120</v>
      </c>
    </row>
    <row r="178" spans="2:2" x14ac:dyDescent="0.3">
      <c r="B178" s="51" t="s">
        <v>121</v>
      </c>
    </row>
    <row r="179" spans="2:2" x14ac:dyDescent="0.3">
      <c r="B179" s="15" t="s">
        <v>122</v>
      </c>
    </row>
    <row r="180" spans="2:2" x14ac:dyDescent="0.3">
      <c r="B180" s="51" t="s">
        <v>142</v>
      </c>
    </row>
    <row r="181" spans="2:2" x14ac:dyDescent="0.3">
      <c r="B181" s="1" t="s">
        <v>143</v>
      </c>
    </row>
  </sheetData>
  <mergeCells count="47">
    <mergeCell ref="A1:D1"/>
    <mergeCell ref="A2:D2"/>
    <mergeCell ref="A141:B141"/>
    <mergeCell ref="A124:C124"/>
    <mergeCell ref="A153:B153"/>
    <mergeCell ref="A144:C144"/>
    <mergeCell ref="A70:B70"/>
    <mergeCell ref="A63:C63"/>
    <mergeCell ref="A79:B79"/>
    <mergeCell ref="A73:C73"/>
    <mergeCell ref="A91:B91"/>
    <mergeCell ref="A82:C82"/>
    <mergeCell ref="A36:B36"/>
    <mergeCell ref="A27:C27"/>
    <mergeCell ref="A46:B46"/>
    <mergeCell ref="A39:C39"/>
    <mergeCell ref="C11:E11"/>
    <mergeCell ref="C12:E12"/>
    <mergeCell ref="A166:B166"/>
    <mergeCell ref="A156:C156"/>
    <mergeCell ref="A94:C94"/>
    <mergeCell ref="A106:B106"/>
    <mergeCell ref="A97:C97"/>
    <mergeCell ref="A113:B113"/>
    <mergeCell ref="A109:C109"/>
    <mergeCell ref="A121:B121"/>
    <mergeCell ref="A116:C116"/>
    <mergeCell ref="A164:B164"/>
    <mergeCell ref="A126:E126"/>
    <mergeCell ref="A133:B133"/>
    <mergeCell ref="A134:B134"/>
    <mergeCell ref="A3:D3"/>
    <mergeCell ref="A41:C41"/>
    <mergeCell ref="A60:B60"/>
    <mergeCell ref="A49:D49"/>
    <mergeCell ref="A14:C14"/>
    <mergeCell ref="C15:E15"/>
    <mergeCell ref="C22:E22"/>
    <mergeCell ref="C23:E23"/>
    <mergeCell ref="C16:D16"/>
    <mergeCell ref="A18:E18"/>
    <mergeCell ref="A19:E19"/>
    <mergeCell ref="C20:E20"/>
    <mergeCell ref="C21:E21"/>
    <mergeCell ref="A8:E8"/>
    <mergeCell ref="C9:E9"/>
    <mergeCell ref="C10:E10"/>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91330-88D1-4886-A3D7-9FED234B9380}">
  <dimension ref="A1:H22"/>
  <sheetViews>
    <sheetView zoomScaleNormal="100" zoomScaleSheetLayoutView="70" workbookViewId="0">
      <selection sqref="A1:H22"/>
    </sheetView>
  </sheetViews>
  <sheetFormatPr defaultRowHeight="14.4" x14ac:dyDescent="0.3"/>
  <cols>
    <col min="2" max="2" width="45.109375" customWidth="1"/>
    <col min="6" max="6" width="12.109375" bestFit="1" customWidth="1"/>
    <col min="7" max="7" width="17.6640625" customWidth="1"/>
  </cols>
  <sheetData>
    <row r="1" spans="1:8" ht="15" customHeight="1" x14ac:dyDescent="0.3">
      <c r="A1" s="102" t="s">
        <v>293</v>
      </c>
      <c r="B1" s="103"/>
      <c r="C1" s="103"/>
      <c r="D1" s="103"/>
      <c r="E1" s="103"/>
      <c r="F1" s="103"/>
      <c r="G1" s="103"/>
      <c r="H1" s="103"/>
    </row>
    <row r="2" spans="1:8" ht="15" customHeight="1" x14ac:dyDescent="0.3">
      <c r="A2" s="104"/>
      <c r="B2" s="105"/>
      <c r="C2" s="105"/>
      <c r="D2" s="105"/>
      <c r="E2" s="105"/>
      <c r="F2" s="105"/>
      <c r="G2" s="105"/>
      <c r="H2" s="105"/>
    </row>
    <row r="3" spans="1:8" ht="15.75" customHeight="1" x14ac:dyDescent="0.3">
      <c r="A3" s="100" t="s">
        <v>119</v>
      </c>
      <c r="B3" s="100" t="s">
        <v>125</v>
      </c>
      <c r="C3" s="100" t="s">
        <v>126</v>
      </c>
      <c r="D3" s="100" t="s">
        <v>127</v>
      </c>
      <c r="E3" s="100" t="s">
        <v>265</v>
      </c>
      <c r="F3" s="100" t="s">
        <v>129</v>
      </c>
      <c r="G3" s="100"/>
      <c r="H3" s="100" t="s">
        <v>128</v>
      </c>
    </row>
    <row r="4" spans="1:8" ht="15.6" x14ac:dyDescent="0.3">
      <c r="A4" s="101"/>
      <c r="B4" s="101"/>
      <c r="C4" s="101"/>
      <c r="D4" s="101"/>
      <c r="E4" s="101"/>
      <c r="F4" s="43" t="s">
        <v>130</v>
      </c>
      <c r="G4" s="43" t="s">
        <v>131</v>
      </c>
      <c r="H4" s="101"/>
    </row>
    <row r="5" spans="1:8" ht="78.75" customHeight="1" x14ac:dyDescent="0.3">
      <c r="A5" s="52">
        <v>1</v>
      </c>
      <c r="B5" s="77" t="s">
        <v>294</v>
      </c>
      <c r="C5" s="45" t="s">
        <v>133</v>
      </c>
      <c r="D5" s="70">
        <v>1</v>
      </c>
      <c r="E5" s="74">
        <v>60</v>
      </c>
      <c r="F5" s="47">
        <v>1570.05</v>
      </c>
      <c r="G5" s="53">
        <f>D5*F5/E5</f>
        <v>26.1675</v>
      </c>
      <c r="H5" s="18"/>
    </row>
    <row r="6" spans="1:8" ht="15.6" x14ac:dyDescent="0.3">
      <c r="A6" s="106" t="s">
        <v>262</v>
      </c>
      <c r="B6" s="106"/>
      <c r="C6" s="107"/>
      <c r="D6" s="107"/>
      <c r="E6" s="106"/>
      <c r="F6" s="106"/>
      <c r="G6" s="54">
        <f>SUM(G5:G5)</f>
        <v>26.1675</v>
      </c>
    </row>
    <row r="7" spans="1:8" ht="15.6" x14ac:dyDescent="0.3">
      <c r="A7" s="106" t="s">
        <v>295</v>
      </c>
      <c r="B7" s="106"/>
      <c r="C7" s="106"/>
      <c r="D7" s="106"/>
      <c r="E7" s="106"/>
      <c r="F7" s="106"/>
      <c r="G7" s="55">
        <f>G6/54</f>
        <v>0.48458333333333337</v>
      </c>
    </row>
    <row r="8" spans="1:8" ht="15.6" x14ac:dyDescent="0.3">
      <c r="A8" s="50"/>
      <c r="B8" s="50"/>
      <c r="C8" s="50"/>
      <c r="D8" s="50"/>
      <c r="E8" s="50"/>
      <c r="F8" s="50"/>
      <c r="G8" s="50"/>
    </row>
    <row r="9" spans="1:8" ht="15.6" x14ac:dyDescent="0.3">
      <c r="A9" s="50"/>
      <c r="B9" s="50"/>
      <c r="C9" s="50"/>
      <c r="D9" s="50"/>
      <c r="E9" s="50"/>
      <c r="F9" s="50"/>
      <c r="G9" s="50"/>
    </row>
    <row r="10" spans="1:8" ht="15.6" x14ac:dyDescent="0.3">
      <c r="A10" s="50"/>
      <c r="B10" t="s">
        <v>319</v>
      </c>
      <c r="C10" s="50"/>
      <c r="D10" s="50"/>
      <c r="E10" s="50"/>
      <c r="F10" s="50"/>
      <c r="G10" s="50"/>
    </row>
    <row r="11" spans="1:8" ht="15.6" x14ac:dyDescent="0.3">
      <c r="A11" s="50"/>
      <c r="B11" s="50"/>
      <c r="C11" s="50"/>
      <c r="D11" s="50"/>
      <c r="E11" s="50"/>
      <c r="F11" s="50"/>
      <c r="G11" s="50"/>
    </row>
    <row r="12" spans="1:8" ht="15.6" x14ac:dyDescent="0.3">
      <c r="A12" s="50"/>
      <c r="B12" s="48" t="s">
        <v>120</v>
      </c>
      <c r="C12" s="51"/>
      <c r="D12" s="50"/>
      <c r="E12" s="50"/>
      <c r="F12" s="50"/>
    </row>
    <row r="13" spans="1:8" ht="15.6" x14ac:dyDescent="0.3">
      <c r="A13" s="50"/>
      <c r="B13" s="51" t="s">
        <v>121</v>
      </c>
      <c r="C13" s="51"/>
      <c r="D13" s="50"/>
      <c r="E13" s="50"/>
      <c r="F13" s="50"/>
    </row>
    <row r="14" spans="1:8" ht="15.6" x14ac:dyDescent="0.3">
      <c r="A14" s="50"/>
      <c r="B14" s="15" t="s">
        <v>122</v>
      </c>
      <c r="C14" s="15"/>
      <c r="D14" s="50"/>
      <c r="E14" s="50"/>
      <c r="F14" s="50"/>
    </row>
    <row r="15" spans="1:8" ht="15.6" x14ac:dyDescent="0.3">
      <c r="A15" s="50"/>
      <c r="B15" s="51" t="s">
        <v>123</v>
      </c>
      <c r="C15" s="51"/>
      <c r="D15" s="50"/>
      <c r="E15" s="50"/>
      <c r="F15" s="50"/>
    </row>
    <row r="16" spans="1:8" ht="15.6" x14ac:dyDescent="0.3">
      <c r="A16" s="50"/>
      <c r="B16" s="1" t="s">
        <v>124</v>
      </c>
      <c r="C16" s="1"/>
      <c r="D16" s="1"/>
      <c r="E16" s="50"/>
      <c r="F16" s="50"/>
    </row>
    <row r="18" spans="2:2" x14ac:dyDescent="0.3">
      <c r="B18" s="48" t="s">
        <v>120</v>
      </c>
    </row>
    <row r="19" spans="2:2" ht="15.6" x14ac:dyDescent="0.3">
      <c r="B19" s="51" t="s">
        <v>121</v>
      </c>
    </row>
    <row r="20" spans="2:2" ht="15.6" x14ac:dyDescent="0.3">
      <c r="B20" s="15" t="s">
        <v>122</v>
      </c>
    </row>
    <row r="21" spans="2:2" ht="15.6" x14ac:dyDescent="0.3">
      <c r="B21" s="51" t="s">
        <v>142</v>
      </c>
    </row>
    <row r="22" spans="2:2" ht="15.6" x14ac:dyDescent="0.3">
      <c r="B22" s="1" t="s">
        <v>143</v>
      </c>
    </row>
  </sheetData>
  <mergeCells count="10">
    <mergeCell ref="A6:F6"/>
    <mergeCell ref="A7:F7"/>
    <mergeCell ref="A1:H2"/>
    <mergeCell ref="A3:A4"/>
    <mergeCell ref="B3:B4"/>
    <mergeCell ref="C3:C4"/>
    <mergeCell ref="D3:D4"/>
    <mergeCell ref="E3:E4"/>
    <mergeCell ref="F3:G3"/>
    <mergeCell ref="H3:H4"/>
  </mergeCells>
  <pageMargins left="0.511811024" right="0.511811024" top="0.78740157499999996" bottom="0.78740157499999996" header="0.31496062000000002" footer="0.31496062000000002"/>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FFD70-2475-451F-AC60-1DD63E98BD8F}">
  <dimension ref="A1:E181"/>
  <sheetViews>
    <sheetView showGridLines="0" view="pageBreakPreview" topLeftCell="A139" zoomScale="60" zoomScaleNormal="115" workbookViewId="0">
      <selection sqref="A1:E181"/>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158</v>
      </c>
      <c r="D16" s="90"/>
      <c r="E16" s="27">
        <v>2</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1158.93</v>
      </c>
      <c r="D21" s="94"/>
      <c r="E21" s="94"/>
    </row>
    <row r="22" spans="1:5" x14ac:dyDescent="0.3">
      <c r="A22" s="22">
        <v>3</v>
      </c>
      <c r="B22" s="29" t="s">
        <v>97</v>
      </c>
      <c r="C22" s="95" t="s">
        <v>157</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1158.93</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1158.93</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96.577500000000001</v>
      </c>
    </row>
    <row r="45" spans="1:3" ht="16.2" thickBot="1" x14ac:dyDescent="0.35">
      <c r="A45" s="9" t="s">
        <v>19</v>
      </c>
      <c r="B45" s="10" t="s">
        <v>34</v>
      </c>
      <c r="C45" s="30">
        <f>C36*(1/12)+C36*(1/3)*(1/12)</f>
        <v>128.76999999999998</v>
      </c>
    </row>
    <row r="46" spans="1:3" ht="16.2" thickBot="1" x14ac:dyDescent="0.35">
      <c r="A46" s="82" t="s">
        <v>2</v>
      </c>
      <c r="B46" s="83"/>
      <c r="C46" s="30">
        <f>SUM(C44:C45)</f>
        <v>225.34749999999997</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276.85550000000006</v>
      </c>
    </row>
    <row r="53" spans="1:4" ht="16.2" thickBot="1" x14ac:dyDescent="0.35">
      <c r="A53" s="9" t="s">
        <v>19</v>
      </c>
      <c r="B53" s="10" t="s">
        <v>40</v>
      </c>
      <c r="C53" s="12">
        <v>2.5000000000000001E-2</v>
      </c>
      <c r="D53" s="30">
        <f t="shared" ref="D53:D60" si="0">($C$36+$C$46)*C53</f>
        <v>34.606937500000008</v>
      </c>
    </row>
    <row r="54" spans="1:4" ht="16.2" thickBot="1" x14ac:dyDescent="0.35">
      <c r="A54" s="9" t="s">
        <v>21</v>
      </c>
      <c r="B54" s="10" t="s">
        <v>41</v>
      </c>
      <c r="C54" s="12">
        <v>0.03</v>
      </c>
      <c r="D54" s="30">
        <f t="shared" si="0"/>
        <v>41.528325000000002</v>
      </c>
    </row>
    <row r="55" spans="1:4" ht="16.2" thickBot="1" x14ac:dyDescent="0.35">
      <c r="A55" s="9" t="s">
        <v>23</v>
      </c>
      <c r="B55" s="10" t="s">
        <v>42</v>
      </c>
      <c r="C55" s="12">
        <v>1.4999999999999999E-2</v>
      </c>
      <c r="D55" s="30">
        <f t="shared" si="0"/>
        <v>20.764162500000001</v>
      </c>
    </row>
    <row r="56" spans="1:4" ht="16.2" thickBot="1" x14ac:dyDescent="0.35">
      <c r="A56" s="9" t="s">
        <v>24</v>
      </c>
      <c r="B56" s="10" t="s">
        <v>43</v>
      </c>
      <c r="C56" s="12">
        <v>0.01</v>
      </c>
      <c r="D56" s="30">
        <f t="shared" si="0"/>
        <v>13.842775000000001</v>
      </c>
    </row>
    <row r="57" spans="1:4" ht="16.2" thickBot="1" x14ac:dyDescent="0.35">
      <c r="A57" s="9" t="s">
        <v>26</v>
      </c>
      <c r="B57" s="10" t="s">
        <v>3</v>
      </c>
      <c r="C57" s="12">
        <v>6.0000000000000001E-3</v>
      </c>
      <c r="D57" s="30">
        <f t="shared" si="0"/>
        <v>8.3056650000000012</v>
      </c>
    </row>
    <row r="58" spans="1:4" ht="16.2" thickBot="1" x14ac:dyDescent="0.35">
      <c r="A58" s="9" t="s">
        <v>27</v>
      </c>
      <c r="B58" s="10" t="s">
        <v>4</v>
      </c>
      <c r="C58" s="12">
        <v>2E-3</v>
      </c>
      <c r="D58" s="30">
        <f t="shared" si="0"/>
        <v>2.7685550000000005</v>
      </c>
    </row>
    <row r="59" spans="1:4" ht="16.2" thickBot="1" x14ac:dyDescent="0.35">
      <c r="A59" s="9" t="s">
        <v>44</v>
      </c>
      <c r="B59" s="10" t="s">
        <v>5</v>
      </c>
      <c r="C59" s="12">
        <v>0.08</v>
      </c>
      <c r="D59" s="30">
        <f t="shared" si="0"/>
        <v>110.74220000000001</v>
      </c>
    </row>
    <row r="60" spans="1:4" ht="16.2" thickBot="1" x14ac:dyDescent="0.35">
      <c r="A60" s="82" t="s">
        <v>45</v>
      </c>
      <c r="B60" s="83"/>
      <c r="C60" s="12">
        <f>SUM(C52:C59)</f>
        <v>0.36800000000000005</v>
      </c>
      <c r="D60" s="30">
        <f t="shared" si="0"/>
        <v>509.41412000000014</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97.664199999999994</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422.26419999999996</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225.34749999999997</v>
      </c>
    </row>
    <row r="77" spans="1:3" ht="16.2" thickBot="1" x14ac:dyDescent="0.35">
      <c r="A77" s="9" t="s">
        <v>36</v>
      </c>
      <c r="B77" s="10" t="s">
        <v>37</v>
      </c>
      <c r="C77" s="30">
        <f>D60</f>
        <v>509.41412000000014</v>
      </c>
    </row>
    <row r="78" spans="1:3" ht="16.2" thickBot="1" x14ac:dyDescent="0.35">
      <c r="A78" s="9" t="s">
        <v>47</v>
      </c>
      <c r="B78" s="10" t="s">
        <v>48</v>
      </c>
      <c r="C78" s="30">
        <f>C70</f>
        <v>422.26419999999996</v>
      </c>
    </row>
    <row r="79" spans="1:3" ht="16.2" thickBot="1" x14ac:dyDescent="0.35">
      <c r="A79" s="82" t="s">
        <v>2</v>
      </c>
      <c r="B79" s="83"/>
      <c r="C79" s="30">
        <f>SUM(C76:C78)</f>
        <v>1157.0258200000001</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66.993094939166653</v>
      </c>
    </row>
    <row r="86" spans="1:4" ht="16.2" thickBot="1" x14ac:dyDescent="0.35">
      <c r="A86" s="9" t="s">
        <v>19</v>
      </c>
      <c r="B86" s="13" t="s">
        <v>56</v>
      </c>
      <c r="C86" s="30">
        <f>C85*8%</f>
        <v>5.3594475951333322</v>
      </c>
      <c r="D86" s="31"/>
    </row>
    <row r="87" spans="1:4" ht="16.2" thickBot="1" x14ac:dyDescent="0.35">
      <c r="A87" s="9" t="s">
        <v>21</v>
      </c>
      <c r="B87" s="13" t="s">
        <v>57</v>
      </c>
      <c r="C87" s="30">
        <f>($C$36+$C$46+$D$59+$C$70)*(50%*(40%+10%)*8%)</f>
        <v>38.345677999999999</v>
      </c>
      <c r="D87" s="31"/>
    </row>
    <row r="88" spans="1:4" ht="16.2" thickBot="1" x14ac:dyDescent="0.35">
      <c r="A88" s="9" t="s">
        <v>23</v>
      </c>
      <c r="B88" s="13" t="s">
        <v>58</v>
      </c>
      <c r="C88" s="30">
        <f>($C$36+$C$79)*(41.93%*(1/12))</f>
        <v>80.923356277166661</v>
      </c>
    </row>
    <row r="89" spans="1:4" ht="31.8" thickBot="1" x14ac:dyDescent="0.35">
      <c r="A89" s="9" t="s">
        <v>24</v>
      </c>
      <c r="B89" s="13" t="s">
        <v>102</v>
      </c>
      <c r="C89" s="30">
        <f>$C$60*$C$88</f>
        <v>29.779795109997334</v>
      </c>
    </row>
    <row r="90" spans="1:4" ht="16.2" thickBot="1" x14ac:dyDescent="0.35">
      <c r="A90" s="9" t="s">
        <v>26</v>
      </c>
      <c r="B90" s="13" t="s">
        <v>59</v>
      </c>
      <c r="C90" s="30">
        <f>($C$36+$C$79)*(50%*(40%+10%)*8%)</f>
        <v>46.319116400000006</v>
      </c>
      <c r="D90" s="31"/>
    </row>
    <row r="91" spans="1:4" ht="16.2" thickBot="1" x14ac:dyDescent="0.35">
      <c r="A91" s="82" t="s">
        <v>2</v>
      </c>
      <c r="B91" s="83"/>
      <c r="C91" s="30">
        <f>SUM(C85:C90)</f>
        <v>267.72048832146396</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148.64966333568518</v>
      </c>
    </row>
    <row r="101" spans="1:3" ht="16.2" thickBot="1" x14ac:dyDescent="0.35">
      <c r="A101" s="9" t="s">
        <v>19</v>
      </c>
      <c r="B101" s="10" t="s">
        <v>104</v>
      </c>
      <c r="C101" s="30">
        <f>(((C36+C79+C91)/30)*(1+3.4521+0.3044+0.0427+0.037+0.02+0.004+0.001))/12</f>
        <v>34.888242416700827</v>
      </c>
    </row>
    <row r="102" spans="1:3" ht="16.2" thickBot="1" x14ac:dyDescent="0.35">
      <c r="A102" s="9" t="s">
        <v>21</v>
      </c>
      <c r="B102" s="10" t="s">
        <v>105</v>
      </c>
      <c r="C102" s="30">
        <f>(((C36+C79+C91)/30)*0.1892)/12</f>
        <v>1.3578654375956141</v>
      </c>
    </row>
    <row r="103" spans="1:3" ht="16.2" thickBot="1" x14ac:dyDescent="0.35">
      <c r="A103" s="9" t="s">
        <v>23</v>
      </c>
      <c r="B103" s="10" t="s">
        <v>106</v>
      </c>
      <c r="C103" s="30">
        <f>(((C36+C79+C91)/30)*0.9548)/12</f>
        <v>6.8524837199592605</v>
      </c>
    </row>
    <row r="104" spans="1:3" ht="16.2" thickBot="1" x14ac:dyDescent="0.35">
      <c r="A104" s="9" t="s">
        <v>24</v>
      </c>
      <c r="B104" s="10" t="s">
        <v>107</v>
      </c>
      <c r="C104" s="30">
        <f>(((C36+C79+C91)/30)*2.4723)/12</f>
        <v>17.743397047397654</v>
      </c>
    </row>
    <row r="105" spans="1:3" ht="16.2" thickBot="1" x14ac:dyDescent="0.35">
      <c r="A105" s="9" t="s">
        <v>26</v>
      </c>
      <c r="B105" s="10" t="s">
        <v>108</v>
      </c>
      <c r="C105" s="30"/>
    </row>
    <row r="106" spans="1:3" ht="16.2" thickBot="1" x14ac:dyDescent="0.35">
      <c r="A106" s="82" t="s">
        <v>45</v>
      </c>
      <c r="B106" s="83"/>
      <c r="C106" s="30">
        <f>SUM(C100:C105)</f>
        <v>209.49165195733852</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209.49165195733852</v>
      </c>
    </row>
    <row r="120" spans="1:5" ht="16.2" thickBot="1" x14ac:dyDescent="0.35">
      <c r="A120" s="9" t="s">
        <v>62</v>
      </c>
      <c r="B120" s="10" t="s">
        <v>113</v>
      </c>
      <c r="C120" s="30">
        <f>C113</f>
        <v>0</v>
      </c>
    </row>
    <row r="121" spans="1:5" ht="16.2" thickBot="1" x14ac:dyDescent="0.35">
      <c r="A121" s="82" t="s">
        <v>2</v>
      </c>
      <c r="B121" s="83"/>
      <c r="C121" s="30">
        <f>SUM(C119:C120)</f>
        <v>209.49165195733852</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2" si="1">C129*D129</f>
        <v>88.84</v>
      </c>
    </row>
    <row r="130" spans="1:5" ht="16.2" thickBot="1" x14ac:dyDescent="0.35">
      <c r="A130" s="61">
        <v>3</v>
      </c>
      <c r="B130" s="36" t="s">
        <v>149</v>
      </c>
      <c r="C130" s="66">
        <v>4</v>
      </c>
      <c r="D130" s="67">
        <v>15</v>
      </c>
      <c r="E130" s="6">
        <f t="shared" si="1"/>
        <v>60</v>
      </c>
    </row>
    <row r="131" spans="1:5" ht="16.2" thickBot="1" x14ac:dyDescent="0.35">
      <c r="A131" s="61">
        <v>4</v>
      </c>
      <c r="B131" s="36" t="s">
        <v>156</v>
      </c>
      <c r="C131" s="66">
        <v>1</v>
      </c>
      <c r="D131" s="67">
        <v>45.29</v>
      </c>
      <c r="E131" s="6">
        <f t="shared" si="1"/>
        <v>45.29</v>
      </c>
    </row>
    <row r="132" spans="1:5" ht="16.2" thickBot="1" x14ac:dyDescent="0.35">
      <c r="A132" s="61">
        <v>5</v>
      </c>
      <c r="B132" s="36" t="s">
        <v>151</v>
      </c>
      <c r="C132" s="66">
        <v>1</v>
      </c>
      <c r="D132" s="67">
        <v>20.309999999999999</v>
      </c>
      <c r="E132" s="6">
        <f t="shared" si="1"/>
        <v>20.309999999999999</v>
      </c>
    </row>
    <row r="133" spans="1:5" ht="16.2" thickBot="1" x14ac:dyDescent="0.35">
      <c r="A133" s="87" t="s">
        <v>114</v>
      </c>
      <c r="B133" s="88"/>
      <c r="C133" s="5"/>
      <c r="D133" s="5"/>
      <c r="E133" s="37">
        <f>SUM(E128:E132)</f>
        <v>307</v>
      </c>
    </row>
    <row r="134" spans="1:5" ht="16.2" thickBot="1" x14ac:dyDescent="0.35">
      <c r="A134" s="87" t="s">
        <v>115</v>
      </c>
      <c r="B134" s="88"/>
      <c r="C134" s="5"/>
      <c r="D134" s="5"/>
      <c r="E134" s="37">
        <f>E133/12</f>
        <v>25.583333333333332</v>
      </c>
    </row>
    <row r="135" spans="1:5" ht="16.2" thickBot="1" x14ac:dyDescent="0.35">
      <c r="A135" s="59"/>
      <c r="B135" s="59"/>
      <c r="C135" s="59"/>
    </row>
    <row r="136" spans="1:5" ht="16.2" thickBot="1" x14ac:dyDescent="0.35">
      <c r="A136" s="7">
        <v>5</v>
      </c>
      <c r="B136" s="14" t="s">
        <v>6</v>
      </c>
      <c r="C136" s="8" t="s">
        <v>16</v>
      </c>
    </row>
    <row r="137" spans="1:5" ht="16.2" thickBot="1" x14ac:dyDescent="0.35">
      <c r="A137" s="9" t="s">
        <v>17</v>
      </c>
      <c r="B137" s="10" t="s">
        <v>66</v>
      </c>
      <c r="C137" s="30">
        <f>E134</f>
        <v>25.583333333333332</v>
      </c>
    </row>
    <row r="138" spans="1:5" ht="16.2" thickBot="1" x14ac:dyDescent="0.35">
      <c r="A138" s="9" t="s">
        <v>19</v>
      </c>
      <c r="B138" s="10" t="s">
        <v>67</v>
      </c>
      <c r="C138" s="30">
        <f>'Materiais Uso Coletivo'!G7</f>
        <v>0.48458333333333337</v>
      </c>
    </row>
    <row r="139" spans="1:5" ht="16.2" thickBot="1" x14ac:dyDescent="0.35">
      <c r="A139" s="9" t="s">
        <v>21</v>
      </c>
      <c r="B139" s="10" t="s">
        <v>68</v>
      </c>
      <c r="C139" s="30">
        <v>0</v>
      </c>
    </row>
    <row r="140" spans="1:5" ht="16.2" thickBot="1" x14ac:dyDescent="0.35">
      <c r="A140" s="9" t="s">
        <v>23</v>
      </c>
      <c r="B140" s="10" t="s">
        <v>28</v>
      </c>
      <c r="C140" s="30"/>
    </row>
    <row r="141" spans="1:5" ht="16.2" thickBot="1" x14ac:dyDescent="0.35">
      <c r="A141" s="82" t="s">
        <v>45</v>
      </c>
      <c r="B141" s="83"/>
      <c r="C141" s="30">
        <f>SUM(C137:C140)</f>
        <v>26.067916666666665</v>
      </c>
    </row>
    <row r="144" spans="1:5" x14ac:dyDescent="0.3">
      <c r="A144" s="81" t="s">
        <v>69</v>
      </c>
      <c r="B144" s="81"/>
      <c r="C144" s="81"/>
    </row>
    <row r="145" spans="1:5" ht="16.2" thickBot="1" x14ac:dyDescent="0.35"/>
    <row r="146" spans="1:5" ht="16.2" thickBot="1" x14ac:dyDescent="0.35">
      <c r="A146" s="7">
        <v>6</v>
      </c>
      <c r="B146" s="14" t="s">
        <v>7</v>
      </c>
      <c r="C146" s="8" t="s">
        <v>38</v>
      </c>
      <c r="D146" s="8" t="s">
        <v>16</v>
      </c>
    </row>
    <row r="147" spans="1:5" ht="16.2" thickBot="1" x14ac:dyDescent="0.35">
      <c r="A147" s="9" t="s">
        <v>17</v>
      </c>
      <c r="B147" s="10" t="s">
        <v>8</v>
      </c>
      <c r="C147" s="42">
        <v>0.03</v>
      </c>
      <c r="D147" s="40">
        <f>C164*C147</f>
        <v>84.577076308364084</v>
      </c>
    </row>
    <row r="148" spans="1:5" ht="16.2" thickBot="1" x14ac:dyDescent="0.35">
      <c r="A148" s="9" t="s">
        <v>19</v>
      </c>
      <c r="B148" s="10" t="s">
        <v>10</v>
      </c>
      <c r="C148" s="42">
        <v>6.7900000000000002E-2</v>
      </c>
      <c r="D148" s="40">
        <f>(C164+D147)*C148</f>
        <v>197.1688995259353</v>
      </c>
    </row>
    <row r="149" spans="1:5" ht="16.2" thickBot="1" x14ac:dyDescent="0.35">
      <c r="A149" s="9" t="s">
        <v>21</v>
      </c>
      <c r="B149" s="10" t="s">
        <v>9</v>
      </c>
      <c r="C149" s="38">
        <v>0.14249999999999999</v>
      </c>
      <c r="D149" s="41"/>
      <c r="E149" s="31">
        <f>(C164+D147+D148)/(1-C149)</f>
        <v>3616.3053676731997</v>
      </c>
    </row>
    <row r="150" spans="1:5" ht="16.2" thickBot="1" x14ac:dyDescent="0.35">
      <c r="A150" s="9"/>
      <c r="B150" s="10" t="s">
        <v>117</v>
      </c>
      <c r="C150" s="42">
        <v>1.6500000000000001E-2</v>
      </c>
      <c r="D150" s="40">
        <f>$E$149*C150</f>
        <v>59.669038566607796</v>
      </c>
    </row>
    <row r="151" spans="1:5" ht="16.2" thickBot="1" x14ac:dyDescent="0.35">
      <c r="A151" s="9"/>
      <c r="B151" s="10" t="s">
        <v>118</v>
      </c>
      <c r="C151" s="42">
        <v>7.5999999999999998E-2</v>
      </c>
      <c r="D151" s="40">
        <f>$E$149*C151</f>
        <v>274.83920794316316</v>
      </c>
    </row>
    <row r="152" spans="1:5" ht="16.2" thickBot="1" x14ac:dyDescent="0.35">
      <c r="A152" s="9"/>
      <c r="B152" s="10" t="s">
        <v>116</v>
      </c>
      <c r="C152" s="42">
        <v>0.05</v>
      </c>
      <c r="D152" s="40">
        <f t="shared" ref="D152" si="2">$E$149*C152</f>
        <v>180.81526838366</v>
      </c>
    </row>
    <row r="153" spans="1:5" ht="16.2" thickBot="1" x14ac:dyDescent="0.35">
      <c r="A153" s="82" t="s">
        <v>45</v>
      </c>
      <c r="B153" s="83"/>
      <c r="C153" s="12">
        <v>0.30449999999999999</v>
      </c>
      <c r="D153" s="40">
        <f>SUM(D147:D152)</f>
        <v>797.06949072773023</v>
      </c>
      <c r="E153" s="31"/>
    </row>
    <row r="154" spans="1:5" x14ac:dyDescent="0.3">
      <c r="D154" s="31"/>
    </row>
    <row r="156" spans="1:5" x14ac:dyDescent="0.3">
      <c r="A156" s="81" t="s">
        <v>70</v>
      </c>
      <c r="B156" s="81"/>
      <c r="C156" s="81"/>
    </row>
    <row r="157" spans="1:5" ht="16.2" thickBot="1" x14ac:dyDescent="0.35"/>
    <row r="158" spans="1:5" ht="16.2" thickBot="1" x14ac:dyDescent="0.35">
      <c r="A158" s="7"/>
      <c r="B158" s="8" t="s">
        <v>71</v>
      </c>
      <c r="C158" s="8" t="s">
        <v>16</v>
      </c>
    </row>
    <row r="159" spans="1:5" ht="16.2" thickBot="1" x14ac:dyDescent="0.35">
      <c r="A159" s="16" t="s">
        <v>17</v>
      </c>
      <c r="B159" s="10" t="s">
        <v>14</v>
      </c>
      <c r="C159" s="39">
        <f>C36</f>
        <v>1158.93</v>
      </c>
    </row>
    <row r="160" spans="1:5" ht="16.2" thickBot="1" x14ac:dyDescent="0.35">
      <c r="A160" s="16" t="s">
        <v>19</v>
      </c>
      <c r="B160" s="10" t="s">
        <v>29</v>
      </c>
      <c r="C160" s="39">
        <f>C79</f>
        <v>1157.0258200000001</v>
      </c>
    </row>
    <row r="161" spans="1:5" ht="16.2" thickBot="1" x14ac:dyDescent="0.35">
      <c r="A161" s="16" t="s">
        <v>21</v>
      </c>
      <c r="B161" s="10" t="s">
        <v>53</v>
      </c>
      <c r="C161" s="39">
        <f>C91</f>
        <v>267.72048832146396</v>
      </c>
    </row>
    <row r="162" spans="1:5" ht="16.2" thickBot="1" x14ac:dyDescent="0.35">
      <c r="A162" s="16" t="s">
        <v>23</v>
      </c>
      <c r="B162" s="10" t="s">
        <v>60</v>
      </c>
      <c r="C162" s="39">
        <f>C121</f>
        <v>209.49165195733852</v>
      </c>
    </row>
    <row r="163" spans="1:5" ht="16.2" thickBot="1" x14ac:dyDescent="0.35">
      <c r="A163" s="16" t="s">
        <v>24</v>
      </c>
      <c r="B163" s="10" t="s">
        <v>65</v>
      </c>
      <c r="C163" s="39">
        <f>C141</f>
        <v>26.067916666666665</v>
      </c>
    </row>
    <row r="164" spans="1:5" ht="16.2" thickBot="1" x14ac:dyDescent="0.35">
      <c r="A164" s="82" t="s">
        <v>72</v>
      </c>
      <c r="B164" s="83"/>
      <c r="C164" s="39">
        <f>SUM(C159:C163)</f>
        <v>2819.2358769454695</v>
      </c>
    </row>
    <row r="165" spans="1:5" ht="16.2" thickBot="1" x14ac:dyDescent="0.35">
      <c r="A165" s="16" t="s">
        <v>26</v>
      </c>
      <c r="B165" s="10" t="s">
        <v>73</v>
      </c>
      <c r="C165" s="39">
        <f>D153</f>
        <v>797.06949072773023</v>
      </c>
    </row>
    <row r="166" spans="1:5" ht="16.2" thickBot="1" x14ac:dyDescent="0.35">
      <c r="A166" s="82" t="s">
        <v>74</v>
      </c>
      <c r="B166" s="83"/>
      <c r="C166" s="39">
        <f>C164+C165</f>
        <v>3616.3053676731997</v>
      </c>
    </row>
    <row r="169" spans="1:5" x14ac:dyDescent="0.3">
      <c r="A169" t="s">
        <v>319</v>
      </c>
      <c r="B169"/>
      <c r="C169"/>
      <c r="D169"/>
      <c r="E169"/>
    </row>
    <row r="170" spans="1:5" x14ac:dyDescent="0.3">
      <c r="A170"/>
      <c r="B170"/>
      <c r="C170"/>
      <c r="D170"/>
      <c r="E170"/>
    </row>
    <row r="171" spans="1:5" x14ac:dyDescent="0.3">
      <c r="A171" s="48"/>
      <c r="B171" s="48" t="s">
        <v>120</v>
      </c>
      <c r="C171" s="49"/>
      <c r="D171" s="50"/>
    </row>
    <row r="172" spans="1:5" x14ac:dyDescent="0.3">
      <c r="A172" s="51"/>
      <c r="B172" s="51" t="s">
        <v>121</v>
      </c>
      <c r="C172" s="50"/>
      <c r="D172" s="50"/>
    </row>
    <row r="173" spans="1:5" x14ac:dyDescent="0.3">
      <c r="B173" s="15" t="s">
        <v>144</v>
      </c>
      <c r="C173" s="50"/>
      <c r="D173" s="50"/>
    </row>
    <row r="174" spans="1:5" x14ac:dyDescent="0.3">
      <c r="A174" s="3"/>
      <c r="B174" s="51" t="s">
        <v>123</v>
      </c>
      <c r="C174" s="50"/>
      <c r="D174" s="50"/>
    </row>
    <row r="175" spans="1:5" x14ac:dyDescent="0.3">
      <c r="A175" s="1"/>
      <c r="B175" s="1" t="s">
        <v>124</v>
      </c>
      <c r="C175" s="1"/>
      <c r="D175" s="50"/>
    </row>
    <row r="177" spans="2:2" x14ac:dyDescent="0.3">
      <c r="B177" s="48" t="s">
        <v>120</v>
      </c>
    </row>
    <row r="178" spans="2:2" x14ac:dyDescent="0.3">
      <c r="B178" s="51" t="s">
        <v>121</v>
      </c>
    </row>
    <row r="179" spans="2:2" x14ac:dyDescent="0.3">
      <c r="B179" s="15" t="s">
        <v>122</v>
      </c>
    </row>
    <row r="180" spans="2:2" x14ac:dyDescent="0.3">
      <c r="B180" s="51" t="s">
        <v>142</v>
      </c>
    </row>
    <row r="181" spans="2:2" x14ac:dyDescent="0.3">
      <c r="B181" s="1" t="s">
        <v>143</v>
      </c>
    </row>
  </sheetData>
  <mergeCells count="47">
    <mergeCell ref="C10:E10"/>
    <mergeCell ref="A1:D1"/>
    <mergeCell ref="A2:D2"/>
    <mergeCell ref="A3:D3"/>
    <mergeCell ref="A8:E8"/>
    <mergeCell ref="C9:E9"/>
    <mergeCell ref="A27:C27"/>
    <mergeCell ref="C11:E11"/>
    <mergeCell ref="C12:E12"/>
    <mergeCell ref="A14:C14"/>
    <mergeCell ref="C15:E15"/>
    <mergeCell ref="C16:D16"/>
    <mergeCell ref="A18:E18"/>
    <mergeCell ref="A19:E19"/>
    <mergeCell ref="C20:E20"/>
    <mergeCell ref="C21:E21"/>
    <mergeCell ref="C22:E22"/>
    <mergeCell ref="C23:E23"/>
    <mergeCell ref="A91:B91"/>
    <mergeCell ref="A36:B36"/>
    <mergeCell ref="A39:C39"/>
    <mergeCell ref="A41:C41"/>
    <mergeCell ref="A46:B46"/>
    <mergeCell ref="A49:D49"/>
    <mergeCell ref="A60:B60"/>
    <mergeCell ref="A63:C63"/>
    <mergeCell ref="A70:B70"/>
    <mergeCell ref="A73:C73"/>
    <mergeCell ref="A79:B79"/>
    <mergeCell ref="A82:C82"/>
    <mergeCell ref="A141:B141"/>
    <mergeCell ref="A94:C94"/>
    <mergeCell ref="A97:C97"/>
    <mergeCell ref="A106:B106"/>
    <mergeCell ref="A109:C109"/>
    <mergeCell ref="A113:B113"/>
    <mergeCell ref="A116:C116"/>
    <mergeCell ref="A121:B121"/>
    <mergeCell ref="A124:C124"/>
    <mergeCell ref="A126:E126"/>
    <mergeCell ref="A133:B133"/>
    <mergeCell ref="A134:B134"/>
    <mergeCell ref="A144:C144"/>
    <mergeCell ref="A153:B153"/>
    <mergeCell ref="A156:C156"/>
    <mergeCell ref="A164:B164"/>
    <mergeCell ref="A166:B166"/>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D0AE2-0165-4D72-BBB5-FFB0AA28FF7C}">
  <dimension ref="A1:I35"/>
  <sheetViews>
    <sheetView tabSelected="1" topLeftCell="A11" zoomScaleNormal="100" workbookViewId="0">
      <selection activeCell="H21" sqref="H21"/>
    </sheetView>
  </sheetViews>
  <sheetFormatPr defaultRowHeight="14.4" x14ac:dyDescent="0.3"/>
  <cols>
    <col min="2" max="2" width="20.33203125" customWidth="1"/>
    <col min="3" max="3" width="18.5546875" customWidth="1"/>
    <col min="7" max="7" width="12.109375" customWidth="1"/>
    <col min="8" max="8" width="15.88671875" customWidth="1"/>
    <col min="9" max="9" width="18" customWidth="1"/>
  </cols>
  <sheetData>
    <row r="1" spans="1:9" x14ac:dyDescent="0.3">
      <c r="A1" s="111" t="s">
        <v>134</v>
      </c>
      <c r="B1" s="111"/>
      <c r="C1" s="111"/>
      <c r="D1" s="111"/>
      <c r="E1" s="111"/>
      <c r="F1" s="111"/>
      <c r="G1" s="111"/>
      <c r="H1" s="111"/>
      <c r="I1" s="111"/>
    </row>
    <row r="2" spans="1:9" x14ac:dyDescent="0.3">
      <c r="A2" s="111"/>
      <c r="B2" s="111"/>
      <c r="C2" s="111"/>
      <c r="D2" s="111"/>
      <c r="E2" s="111"/>
      <c r="F2" s="111"/>
      <c r="G2" s="111"/>
      <c r="H2" s="111"/>
      <c r="I2" s="111"/>
    </row>
    <row r="3" spans="1:9" x14ac:dyDescent="0.3">
      <c r="A3" s="116" t="s">
        <v>297</v>
      </c>
      <c r="B3" s="117"/>
      <c r="C3" s="117"/>
      <c r="D3" s="117"/>
      <c r="E3" s="117"/>
      <c r="F3" s="117"/>
      <c r="G3" s="117"/>
      <c r="H3" s="117"/>
      <c r="I3" s="118"/>
    </row>
    <row r="4" spans="1:9" ht="15" customHeight="1" x14ac:dyDescent="0.3">
      <c r="A4" s="109" t="s">
        <v>11</v>
      </c>
      <c r="B4" s="109" t="s">
        <v>135</v>
      </c>
      <c r="C4" s="112" t="s">
        <v>308</v>
      </c>
      <c r="D4" s="109" t="s">
        <v>136</v>
      </c>
      <c r="E4" s="109" t="s">
        <v>137</v>
      </c>
      <c r="F4" s="109" t="s">
        <v>315</v>
      </c>
      <c r="G4" s="113" t="s">
        <v>138</v>
      </c>
      <c r="H4" s="109" t="s">
        <v>139</v>
      </c>
      <c r="I4" s="109" t="s">
        <v>140</v>
      </c>
    </row>
    <row r="5" spans="1:9" ht="45" customHeight="1" x14ac:dyDescent="0.3">
      <c r="A5" s="109"/>
      <c r="B5" s="109"/>
      <c r="C5" s="115"/>
      <c r="D5" s="112"/>
      <c r="E5" s="112"/>
      <c r="F5" s="109"/>
      <c r="G5" s="114"/>
      <c r="H5" s="109"/>
      <c r="I5" s="109"/>
    </row>
    <row r="6" spans="1:9" ht="41.4" x14ac:dyDescent="0.3">
      <c r="A6" s="56">
        <v>1</v>
      </c>
      <c r="B6" s="78" t="s">
        <v>298</v>
      </c>
      <c r="C6" s="69">
        <v>4141</v>
      </c>
      <c r="D6" s="69" t="s">
        <v>141</v>
      </c>
      <c r="E6" s="69" t="s">
        <v>313</v>
      </c>
      <c r="F6" s="69">
        <v>2</v>
      </c>
      <c r="G6" s="119">
        <v>3479.08</v>
      </c>
      <c r="H6" s="57">
        <f>G6*F6</f>
        <v>6958.16</v>
      </c>
      <c r="I6" s="57">
        <f>H6*12</f>
        <v>83497.919999999998</v>
      </c>
    </row>
    <row r="7" spans="1:9" ht="41.4" x14ac:dyDescent="0.3">
      <c r="A7" s="68">
        <v>2</v>
      </c>
      <c r="B7" s="78" t="s">
        <v>158</v>
      </c>
      <c r="C7" s="69">
        <v>4141</v>
      </c>
      <c r="D7" s="69" t="s">
        <v>141</v>
      </c>
      <c r="E7" s="69" t="s">
        <v>313</v>
      </c>
      <c r="F7" s="69">
        <v>2</v>
      </c>
      <c r="G7" s="119">
        <v>3616.3053676731997</v>
      </c>
      <c r="H7" s="57">
        <f t="shared" ref="H7:H19" si="0">G7*F7</f>
        <v>7232.6107353463995</v>
      </c>
      <c r="I7" s="57">
        <f t="shared" ref="I7:I19" si="1">H7*12</f>
        <v>86791.328824156793</v>
      </c>
    </row>
    <row r="8" spans="1:9" ht="41.4" x14ac:dyDescent="0.3">
      <c r="A8" s="68">
        <v>3</v>
      </c>
      <c r="B8" s="78" t="s">
        <v>299</v>
      </c>
      <c r="C8" s="69">
        <v>9143</v>
      </c>
      <c r="D8" s="69" t="s">
        <v>141</v>
      </c>
      <c r="E8" s="69" t="s">
        <v>313</v>
      </c>
      <c r="F8" s="69">
        <v>6</v>
      </c>
      <c r="G8" s="119">
        <v>4200.7577386927196</v>
      </c>
      <c r="H8" s="57">
        <f>G8*F8</f>
        <v>25204.546432156319</v>
      </c>
      <c r="I8" s="57">
        <f t="shared" si="1"/>
        <v>302454.55718587583</v>
      </c>
    </row>
    <row r="9" spans="1:9" ht="41.4" x14ac:dyDescent="0.3">
      <c r="A9" s="68">
        <v>4</v>
      </c>
      <c r="B9" s="79" t="s">
        <v>300</v>
      </c>
      <c r="C9" s="69">
        <v>7823</v>
      </c>
      <c r="D9" s="69" t="s">
        <v>141</v>
      </c>
      <c r="E9" s="69" t="s">
        <v>313</v>
      </c>
      <c r="F9" s="69">
        <v>9</v>
      </c>
      <c r="G9" s="119">
        <v>4059.25</v>
      </c>
      <c r="H9" s="57">
        <f>G9*F9</f>
        <v>36533.25</v>
      </c>
      <c r="I9" s="57">
        <f t="shared" si="1"/>
        <v>438399</v>
      </c>
    </row>
    <row r="10" spans="1:9" ht="41.4" x14ac:dyDescent="0.3">
      <c r="A10" s="68">
        <v>5</v>
      </c>
      <c r="B10" s="79" t="s">
        <v>301</v>
      </c>
      <c r="C10" s="69">
        <v>7823</v>
      </c>
      <c r="D10" s="69" t="s">
        <v>141</v>
      </c>
      <c r="E10" s="69" t="s">
        <v>313</v>
      </c>
      <c r="F10" s="69">
        <v>6</v>
      </c>
      <c r="G10" s="119">
        <v>5919.7186869512752</v>
      </c>
      <c r="H10" s="57">
        <f t="shared" si="0"/>
        <v>35518.312121707655</v>
      </c>
      <c r="I10" s="57">
        <f t="shared" si="1"/>
        <v>426219.74546049186</v>
      </c>
    </row>
    <row r="11" spans="1:9" ht="41.4" x14ac:dyDescent="0.3">
      <c r="A11" s="68">
        <v>6</v>
      </c>
      <c r="B11" s="78" t="s">
        <v>302</v>
      </c>
      <c r="C11" s="69">
        <v>5174</v>
      </c>
      <c r="D11" s="69" t="s">
        <v>141</v>
      </c>
      <c r="E11" s="69" t="s">
        <v>313</v>
      </c>
      <c r="F11" s="69">
        <v>9</v>
      </c>
      <c r="G11" s="119">
        <v>3897.9049124481835</v>
      </c>
      <c r="H11" s="57">
        <f t="shared" si="0"/>
        <v>35081.144212033651</v>
      </c>
      <c r="I11" s="57">
        <f t="shared" si="1"/>
        <v>420973.73054440378</v>
      </c>
    </row>
    <row r="12" spans="1:9" ht="41.4" x14ac:dyDescent="0.3">
      <c r="A12" s="68">
        <v>7</v>
      </c>
      <c r="B12" s="78" t="s">
        <v>303</v>
      </c>
      <c r="C12" s="69">
        <v>5174</v>
      </c>
      <c r="D12" s="69" t="s">
        <v>307</v>
      </c>
      <c r="E12" s="69" t="s">
        <v>313</v>
      </c>
      <c r="F12" s="69" t="s">
        <v>316</v>
      </c>
      <c r="G12" s="119">
        <v>6995.1097855184198</v>
      </c>
      <c r="H12" s="57">
        <f>G12*1</f>
        <v>6995.1097855184198</v>
      </c>
      <c r="I12" s="57">
        <f t="shared" si="1"/>
        <v>83941.317426221038</v>
      </c>
    </row>
    <row r="13" spans="1:9" ht="41.4" x14ac:dyDescent="0.3">
      <c r="A13" s="68">
        <v>8</v>
      </c>
      <c r="B13" s="78" t="s">
        <v>303</v>
      </c>
      <c r="C13" s="69">
        <v>5174</v>
      </c>
      <c r="D13" s="69" t="s">
        <v>307</v>
      </c>
      <c r="E13" s="69" t="s">
        <v>314</v>
      </c>
      <c r="F13" s="69" t="s">
        <v>317</v>
      </c>
      <c r="G13" s="119">
        <v>7235.3197973318029</v>
      </c>
      <c r="H13" s="57">
        <f>G13*1</f>
        <v>7235.3197973318029</v>
      </c>
      <c r="I13" s="57">
        <f t="shared" si="1"/>
        <v>86823.837567981638</v>
      </c>
    </row>
    <row r="14" spans="1:9" ht="41.4" x14ac:dyDescent="0.3">
      <c r="A14" s="68">
        <v>9</v>
      </c>
      <c r="B14" s="78" t="s">
        <v>304</v>
      </c>
      <c r="C14" s="69" t="s">
        <v>309</v>
      </c>
      <c r="D14" s="69" t="s">
        <v>141</v>
      </c>
      <c r="E14" s="69" t="s">
        <v>313</v>
      </c>
      <c r="F14" s="69">
        <v>1</v>
      </c>
      <c r="G14" s="119">
        <v>3280.3535300696426</v>
      </c>
      <c r="H14" s="57">
        <f t="shared" si="0"/>
        <v>3280.3535300696426</v>
      </c>
      <c r="I14" s="57">
        <f t="shared" si="1"/>
        <v>39364.242360835713</v>
      </c>
    </row>
    <row r="15" spans="1:9" ht="41.4" x14ac:dyDescent="0.3">
      <c r="A15" s="68">
        <v>10</v>
      </c>
      <c r="B15" s="78" t="s">
        <v>190</v>
      </c>
      <c r="C15" s="69">
        <v>3731</v>
      </c>
      <c r="D15" s="69" t="s">
        <v>141</v>
      </c>
      <c r="E15" s="69" t="s">
        <v>313</v>
      </c>
      <c r="F15" s="69">
        <v>1</v>
      </c>
      <c r="G15" s="119">
        <v>3499.0485520493467</v>
      </c>
      <c r="H15" s="57">
        <f t="shared" si="0"/>
        <v>3499.0485520493467</v>
      </c>
      <c r="I15" s="57">
        <f t="shared" si="1"/>
        <v>41988.582624592163</v>
      </c>
    </row>
    <row r="16" spans="1:9" ht="41.4" x14ac:dyDescent="0.3">
      <c r="A16" s="68">
        <v>11</v>
      </c>
      <c r="B16" s="78" t="s">
        <v>305</v>
      </c>
      <c r="C16" s="69" t="s">
        <v>310</v>
      </c>
      <c r="D16" s="69" t="s">
        <v>141</v>
      </c>
      <c r="E16" s="69" t="s">
        <v>313</v>
      </c>
      <c r="F16" s="69">
        <v>1</v>
      </c>
      <c r="G16" s="119">
        <v>3278.3503406255222</v>
      </c>
      <c r="H16" s="57">
        <f t="shared" si="0"/>
        <v>3278.3503406255222</v>
      </c>
      <c r="I16" s="57">
        <f t="shared" si="1"/>
        <v>39340.204087506267</v>
      </c>
    </row>
    <row r="17" spans="1:9" ht="51" customHeight="1" x14ac:dyDescent="0.3">
      <c r="A17" s="68">
        <v>12</v>
      </c>
      <c r="B17" s="78" t="s">
        <v>306</v>
      </c>
      <c r="C17" s="69">
        <v>7832</v>
      </c>
      <c r="D17" s="69" t="s">
        <v>141</v>
      </c>
      <c r="E17" s="69" t="s">
        <v>313</v>
      </c>
      <c r="F17" s="69">
        <v>6</v>
      </c>
      <c r="G17" s="119">
        <v>3340.1397558990893</v>
      </c>
      <c r="H17" s="57">
        <f t="shared" si="0"/>
        <v>20040.838535394534</v>
      </c>
      <c r="I17" s="57">
        <f t="shared" si="1"/>
        <v>240490.06242473441</v>
      </c>
    </row>
    <row r="18" spans="1:9" ht="41.4" x14ac:dyDescent="0.3">
      <c r="A18" s="68">
        <v>13</v>
      </c>
      <c r="B18" s="78" t="s">
        <v>201</v>
      </c>
      <c r="C18" s="69" t="s">
        <v>311</v>
      </c>
      <c r="D18" s="69" t="s">
        <v>141</v>
      </c>
      <c r="E18" s="69" t="s">
        <v>313</v>
      </c>
      <c r="F18" s="69">
        <v>8</v>
      </c>
      <c r="G18" s="119">
        <v>3858.7567182254652</v>
      </c>
      <c r="H18" s="57">
        <f t="shared" si="0"/>
        <v>30870.053745803722</v>
      </c>
      <c r="I18" s="57">
        <f t="shared" si="1"/>
        <v>370440.64494964469</v>
      </c>
    </row>
    <row r="19" spans="1:9" ht="51" customHeight="1" x14ac:dyDescent="0.3">
      <c r="A19" s="68">
        <v>14</v>
      </c>
      <c r="B19" s="78" t="s">
        <v>92</v>
      </c>
      <c r="C19" s="69" t="s">
        <v>312</v>
      </c>
      <c r="D19" s="69" t="s">
        <v>141</v>
      </c>
      <c r="E19" s="69" t="s">
        <v>313</v>
      </c>
      <c r="F19" s="69">
        <v>1</v>
      </c>
      <c r="G19" s="119">
        <v>4641.5190918474473</v>
      </c>
      <c r="H19" s="57">
        <f t="shared" si="0"/>
        <v>4641.5190918474473</v>
      </c>
      <c r="I19" s="57">
        <f t="shared" si="1"/>
        <v>55698.229102169367</v>
      </c>
    </row>
    <row r="20" spans="1:9" x14ac:dyDescent="0.3">
      <c r="A20" s="109" t="s">
        <v>318</v>
      </c>
      <c r="B20" s="110"/>
      <c r="C20" s="110"/>
      <c r="D20" s="110"/>
      <c r="E20" s="110"/>
      <c r="F20" s="68">
        <v>54</v>
      </c>
      <c r="G20" s="80"/>
      <c r="H20" s="58">
        <f>SUM(H6:H19)</f>
        <v>226368.61687988447</v>
      </c>
      <c r="I20" s="58">
        <f>SUM(I6:I19)</f>
        <v>2716423.4025586131</v>
      </c>
    </row>
    <row r="23" spans="1:9" x14ac:dyDescent="0.3">
      <c r="A23" t="s">
        <v>319</v>
      </c>
    </row>
    <row r="25" spans="1:9" ht="15.6" x14ac:dyDescent="0.3">
      <c r="A25" s="48"/>
      <c r="B25" s="49"/>
      <c r="C25" s="49"/>
      <c r="D25" s="48" t="s">
        <v>120</v>
      </c>
      <c r="E25" s="49"/>
      <c r="F25" s="50"/>
    </row>
    <row r="26" spans="1:9" ht="15.6" x14ac:dyDescent="0.3">
      <c r="A26" s="51"/>
      <c r="B26" s="50"/>
      <c r="C26" s="50"/>
      <c r="D26" s="51" t="s">
        <v>121</v>
      </c>
      <c r="E26" s="50"/>
      <c r="F26" s="50"/>
    </row>
    <row r="27" spans="1:9" ht="15.6" x14ac:dyDescent="0.3">
      <c r="A27" s="15"/>
      <c r="B27" s="50"/>
      <c r="C27" s="50"/>
      <c r="D27" s="15" t="s">
        <v>122</v>
      </c>
      <c r="E27" s="50"/>
      <c r="F27" s="50"/>
    </row>
    <row r="28" spans="1:9" ht="15.6" x14ac:dyDescent="0.3">
      <c r="A28" s="3"/>
      <c r="B28" s="50"/>
      <c r="C28" s="50"/>
      <c r="D28" s="51" t="s">
        <v>123</v>
      </c>
      <c r="E28" s="50"/>
      <c r="F28" s="50"/>
    </row>
    <row r="29" spans="1:9" ht="15.6" x14ac:dyDescent="0.3">
      <c r="A29" s="1"/>
      <c r="B29" s="50"/>
      <c r="C29" s="50"/>
      <c r="D29" s="1" t="s">
        <v>124</v>
      </c>
      <c r="E29" s="1"/>
      <c r="F29" s="50"/>
    </row>
    <row r="31" spans="1:9" x14ac:dyDescent="0.3">
      <c r="D31" s="48" t="s">
        <v>120</v>
      </c>
    </row>
    <row r="32" spans="1:9" ht="15.6" x14ac:dyDescent="0.3">
      <c r="D32" s="51" t="s">
        <v>121</v>
      </c>
    </row>
    <row r="33" spans="4:4" ht="15.6" x14ac:dyDescent="0.3">
      <c r="D33" s="15" t="s">
        <v>122</v>
      </c>
    </row>
    <row r="34" spans="4:4" ht="15.6" x14ac:dyDescent="0.3">
      <c r="D34" s="51" t="s">
        <v>142</v>
      </c>
    </row>
    <row r="35" spans="4:4" ht="15.6" x14ac:dyDescent="0.3">
      <c r="D35" s="1" t="s">
        <v>143</v>
      </c>
    </row>
  </sheetData>
  <mergeCells count="12">
    <mergeCell ref="A20:E20"/>
    <mergeCell ref="A1:I2"/>
    <mergeCell ref="A4:A5"/>
    <mergeCell ref="B4:B5"/>
    <mergeCell ref="D4:D5"/>
    <mergeCell ref="E4:E5"/>
    <mergeCell ref="G4:G5"/>
    <mergeCell ref="H4:H5"/>
    <mergeCell ref="I4:I5"/>
    <mergeCell ref="C4:C5"/>
    <mergeCell ref="F4:F5"/>
    <mergeCell ref="A3:I3"/>
  </mergeCells>
  <pageMargins left="0.511811024" right="0.511811024" top="0.78740157499999996" bottom="0.78740157499999996" header="0.31496062000000002" footer="0.31496062000000002"/>
  <pageSetup paperSize="9" scale="7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CF36-C5D7-4836-AFAC-8D3D54AADFEE}">
  <dimension ref="A1:E184"/>
  <sheetViews>
    <sheetView showGridLines="0" view="pageBreakPreview" topLeftCell="A94" zoomScale="60" zoomScaleNormal="115" workbookViewId="0">
      <selection sqref="A1:E184"/>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145</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164</v>
      </c>
      <c r="D16" s="90"/>
      <c r="E16" s="27">
        <v>6</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1346.86</v>
      </c>
      <c r="D21" s="94"/>
      <c r="E21" s="94"/>
    </row>
    <row r="22" spans="1:5" x14ac:dyDescent="0.3">
      <c r="A22" s="22">
        <v>3</v>
      </c>
      <c r="B22" s="29" t="s">
        <v>97</v>
      </c>
      <c r="C22" s="95" t="s">
        <v>159</v>
      </c>
      <c r="D22" s="95"/>
      <c r="E22" s="95"/>
    </row>
    <row r="23" spans="1:5" x14ac:dyDescent="0.3">
      <c r="A23" s="22">
        <v>4</v>
      </c>
      <c r="B23" s="29" t="s">
        <v>99</v>
      </c>
      <c r="C23" s="96">
        <v>43466</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1346.86</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1346.86</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112.23833333333332</v>
      </c>
    </row>
    <row r="45" spans="1:3" ht="16.2" thickBot="1" x14ac:dyDescent="0.35">
      <c r="A45" s="9" t="s">
        <v>19</v>
      </c>
      <c r="B45" s="10" t="s">
        <v>34</v>
      </c>
      <c r="C45" s="30">
        <f>C36*(1/12)+C36*(1/3)*(1/12)</f>
        <v>149.65111111111108</v>
      </c>
    </row>
    <row r="46" spans="1:3" ht="16.2" thickBot="1" x14ac:dyDescent="0.35">
      <c r="A46" s="82" t="s">
        <v>2</v>
      </c>
      <c r="B46" s="83"/>
      <c r="C46" s="30">
        <f>SUM(C44:C45)</f>
        <v>261.88944444444439</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321.74988888888885</v>
      </c>
    </row>
    <row r="53" spans="1:4" ht="16.2" thickBot="1" x14ac:dyDescent="0.35">
      <c r="A53" s="9" t="s">
        <v>19</v>
      </c>
      <c r="B53" s="10" t="s">
        <v>40</v>
      </c>
      <c r="C53" s="12">
        <v>2.5000000000000001E-2</v>
      </c>
      <c r="D53" s="30">
        <f t="shared" ref="D53:D60" si="0">($C$36+$C$46)*C53</f>
        <v>40.218736111111106</v>
      </c>
    </row>
    <row r="54" spans="1:4" ht="16.2" thickBot="1" x14ac:dyDescent="0.35">
      <c r="A54" s="9" t="s">
        <v>21</v>
      </c>
      <c r="B54" s="10" t="s">
        <v>41</v>
      </c>
      <c r="C54" s="12">
        <v>0.03</v>
      </c>
      <c r="D54" s="30">
        <f t="shared" si="0"/>
        <v>48.262483333333321</v>
      </c>
    </row>
    <row r="55" spans="1:4" ht="16.2" thickBot="1" x14ac:dyDescent="0.35">
      <c r="A55" s="9" t="s">
        <v>23</v>
      </c>
      <c r="B55" s="10" t="s">
        <v>42</v>
      </c>
      <c r="C55" s="12">
        <v>1.4999999999999999E-2</v>
      </c>
      <c r="D55" s="30">
        <f t="shared" si="0"/>
        <v>24.131241666666661</v>
      </c>
    </row>
    <row r="56" spans="1:4" ht="16.2" thickBot="1" x14ac:dyDescent="0.35">
      <c r="A56" s="9" t="s">
        <v>24</v>
      </c>
      <c r="B56" s="10" t="s">
        <v>43</v>
      </c>
      <c r="C56" s="12">
        <v>0.01</v>
      </c>
      <c r="D56" s="30">
        <f t="shared" si="0"/>
        <v>16.087494444444442</v>
      </c>
    </row>
    <row r="57" spans="1:4" ht="16.2" thickBot="1" x14ac:dyDescent="0.35">
      <c r="A57" s="9" t="s">
        <v>26</v>
      </c>
      <c r="B57" s="10" t="s">
        <v>3</v>
      </c>
      <c r="C57" s="12">
        <v>6.0000000000000001E-3</v>
      </c>
      <c r="D57" s="30">
        <f t="shared" si="0"/>
        <v>9.6524966666666661</v>
      </c>
    </row>
    <row r="58" spans="1:4" ht="16.2" thickBot="1" x14ac:dyDescent="0.35">
      <c r="A58" s="9" t="s">
        <v>27</v>
      </c>
      <c r="B58" s="10" t="s">
        <v>4</v>
      </c>
      <c r="C58" s="12">
        <v>2E-3</v>
      </c>
      <c r="D58" s="30">
        <f t="shared" si="0"/>
        <v>3.2174988888888882</v>
      </c>
    </row>
    <row r="59" spans="1:4" ht="16.2" thickBot="1" x14ac:dyDescent="0.35">
      <c r="A59" s="9" t="s">
        <v>44</v>
      </c>
      <c r="B59" s="10" t="s">
        <v>5</v>
      </c>
      <c r="C59" s="12">
        <v>0.08</v>
      </c>
      <c r="D59" s="30">
        <f t="shared" si="0"/>
        <v>128.69995555555553</v>
      </c>
    </row>
    <row r="60" spans="1:4" ht="16.2" thickBot="1" x14ac:dyDescent="0.35">
      <c r="A60" s="82" t="s">
        <v>45</v>
      </c>
      <c r="B60" s="83"/>
      <c r="C60" s="12">
        <f>SUM(C52:C59)</f>
        <v>0.36800000000000005</v>
      </c>
      <c r="D60" s="30">
        <f t="shared" si="0"/>
        <v>592.01979555555556</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86.388400000000004</v>
      </c>
    </row>
    <row r="67" spans="1:3" ht="16.2" thickBot="1" x14ac:dyDescent="0.35">
      <c r="A67" s="9" t="s">
        <v>19</v>
      </c>
      <c r="B67" s="10" t="s">
        <v>50</v>
      </c>
      <c r="C67" s="30">
        <f>(12*22)-((12*22)*10%)</f>
        <v>237.6</v>
      </c>
    </row>
    <row r="68" spans="1:3" ht="16.2" thickBot="1" x14ac:dyDescent="0.35">
      <c r="A68" s="9" t="s">
        <v>21</v>
      </c>
      <c r="B68" s="10" t="s">
        <v>100</v>
      </c>
      <c r="C68" s="40">
        <v>80</v>
      </c>
    </row>
    <row r="69" spans="1:3" ht="16.2" thickBot="1" x14ac:dyDescent="0.35">
      <c r="A69" s="9" t="s">
        <v>23</v>
      </c>
      <c r="B69" s="10" t="s">
        <v>101</v>
      </c>
      <c r="C69" s="40">
        <v>7</v>
      </c>
    </row>
    <row r="70" spans="1:3" ht="16.2" thickBot="1" x14ac:dyDescent="0.35">
      <c r="A70" s="82" t="s">
        <v>2</v>
      </c>
      <c r="B70" s="83"/>
      <c r="C70" s="30">
        <f>SUM(C66:C69)</f>
        <v>410.98840000000001</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261.88944444444439</v>
      </c>
    </row>
    <row r="77" spans="1:3" ht="16.2" thickBot="1" x14ac:dyDescent="0.35">
      <c r="A77" s="9" t="s">
        <v>36</v>
      </c>
      <c r="B77" s="10" t="s">
        <v>37</v>
      </c>
      <c r="C77" s="30">
        <f>D60</f>
        <v>592.01979555555556</v>
      </c>
    </row>
    <row r="78" spans="1:3" ht="16.2" thickBot="1" x14ac:dyDescent="0.35">
      <c r="A78" s="9" t="s">
        <v>47</v>
      </c>
      <c r="B78" s="10" t="s">
        <v>48</v>
      </c>
      <c r="C78" s="30">
        <f>C70</f>
        <v>410.98840000000001</v>
      </c>
    </row>
    <row r="79" spans="1:3" ht="16.2" thickBot="1" x14ac:dyDescent="0.35">
      <c r="A79" s="82" t="s">
        <v>2</v>
      </c>
      <c r="B79" s="83"/>
      <c r="C79" s="30">
        <f>SUM(C76:C78)</f>
        <v>1264.8976399999999</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75.069997461666645</v>
      </c>
    </row>
    <row r="86" spans="1:4" ht="16.2" thickBot="1" x14ac:dyDescent="0.35">
      <c r="A86" s="9" t="s">
        <v>19</v>
      </c>
      <c r="B86" s="13" t="s">
        <v>56</v>
      </c>
      <c r="C86" s="30">
        <f>C85*8%</f>
        <v>6.0055997969333319</v>
      </c>
      <c r="D86" s="31"/>
    </row>
    <row r="87" spans="1:4" ht="16.2" thickBot="1" x14ac:dyDescent="0.35">
      <c r="A87" s="9" t="s">
        <v>21</v>
      </c>
      <c r="B87" s="13" t="s">
        <v>57</v>
      </c>
      <c r="C87" s="30">
        <f>($C$36+$C$46+$D$59+$C$70)*(50%*(40%+10%)*8%)</f>
        <v>42.968755999999992</v>
      </c>
      <c r="D87" s="31"/>
    </row>
    <row r="88" spans="1:4" ht="16.2" thickBot="1" x14ac:dyDescent="0.35">
      <c r="A88" s="9" t="s">
        <v>23</v>
      </c>
      <c r="B88" s="13" t="s">
        <v>58</v>
      </c>
      <c r="C88" s="30">
        <f>($C$36+$C$79)*(41.93%*(1/12))</f>
        <v>91.259164870999982</v>
      </c>
    </row>
    <row r="89" spans="1:4" ht="31.8" thickBot="1" x14ac:dyDescent="0.35">
      <c r="A89" s="9" t="s">
        <v>24</v>
      </c>
      <c r="B89" s="13" t="s">
        <v>102</v>
      </c>
      <c r="C89" s="30">
        <f>$C$60*$C$88</f>
        <v>33.583372672528</v>
      </c>
    </row>
    <row r="90" spans="1:4" ht="16.2" thickBot="1" x14ac:dyDescent="0.35">
      <c r="A90" s="9" t="s">
        <v>26</v>
      </c>
      <c r="B90" s="13" t="s">
        <v>59</v>
      </c>
      <c r="C90" s="30">
        <f>($C$36+$C$79)*(50%*(40%+10%)*8%)</f>
        <v>52.235152799999994</v>
      </c>
      <c r="D90" s="31"/>
    </row>
    <row r="91" spans="1:4" ht="16.2" thickBot="1" x14ac:dyDescent="0.35">
      <c r="A91" s="82" t="s">
        <v>2</v>
      </c>
      <c r="B91" s="83"/>
      <c r="C91" s="30">
        <f>SUM(C85:C90)</f>
        <v>301.12204360212792</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167.59010519631207</v>
      </c>
    </row>
    <row r="101" spans="1:3" ht="16.2" thickBot="1" x14ac:dyDescent="0.35">
      <c r="A101" s="9" t="s">
        <v>19</v>
      </c>
      <c r="B101" s="10" t="s">
        <v>104</v>
      </c>
      <c r="C101" s="30">
        <f>(((C36+C79+C91)/30)*(1+3.4521+0.3044+0.0427+0.037+0.02+0.004+0.001))/12</f>
        <v>39.333585327574063</v>
      </c>
    </row>
    <row r="102" spans="1:3" ht="16.2" thickBot="1" x14ac:dyDescent="0.35">
      <c r="A102" s="9" t="s">
        <v>21</v>
      </c>
      <c r="B102" s="10" t="s">
        <v>105</v>
      </c>
      <c r="C102" s="30">
        <f>(((C36+C79+C91)/30)*0.1892)/12</f>
        <v>1.5308801003820072</v>
      </c>
    </row>
    <row r="103" spans="1:3" ht="16.2" thickBot="1" x14ac:dyDescent="0.35">
      <c r="A103" s="9" t="s">
        <v>23</v>
      </c>
      <c r="B103" s="10" t="s">
        <v>106</v>
      </c>
      <c r="C103" s="30">
        <f>(((C36+C79+C91)/30)*0.9548)/12</f>
        <v>7.7256042275091987</v>
      </c>
    </row>
    <row r="104" spans="1:3" ht="16.2" thickBot="1" x14ac:dyDescent="0.35">
      <c r="A104" s="9" t="s">
        <v>24</v>
      </c>
      <c r="B104" s="10" t="s">
        <v>107</v>
      </c>
      <c r="C104" s="30">
        <f>(((C36+C79+C91)/30)*2.4723)/12</f>
        <v>20.004201227137614</v>
      </c>
    </row>
    <row r="105" spans="1:3" ht="16.2" thickBot="1" x14ac:dyDescent="0.35">
      <c r="A105" s="9" t="s">
        <v>26</v>
      </c>
      <c r="B105" s="10" t="s">
        <v>108</v>
      </c>
      <c r="C105" s="30"/>
    </row>
    <row r="106" spans="1:3" ht="16.2" thickBot="1" x14ac:dyDescent="0.35">
      <c r="A106" s="82" t="s">
        <v>45</v>
      </c>
      <c r="B106" s="83"/>
      <c r="C106" s="30">
        <f>SUM(C100:C105)</f>
        <v>236.18437607891497</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236.18437607891497</v>
      </c>
    </row>
    <row r="120" spans="1:5" ht="16.2" thickBot="1" x14ac:dyDescent="0.35">
      <c r="A120" s="9" t="s">
        <v>62</v>
      </c>
      <c r="B120" s="10" t="s">
        <v>113</v>
      </c>
      <c r="C120" s="30">
        <f>C113</f>
        <v>0</v>
      </c>
    </row>
    <row r="121" spans="1:5" ht="16.2" thickBot="1" x14ac:dyDescent="0.35">
      <c r="A121" s="82" t="s">
        <v>2</v>
      </c>
      <c r="B121" s="83"/>
      <c r="C121" s="30">
        <f>SUM(C119:C120)</f>
        <v>236.18437607891497</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165</v>
      </c>
      <c r="C129" s="66">
        <v>2</v>
      </c>
      <c r="D129" s="67">
        <v>44.42</v>
      </c>
      <c r="E129" s="6">
        <f t="shared" ref="E129:E135" si="1">C129*D129</f>
        <v>88.84</v>
      </c>
    </row>
    <row r="130" spans="1:5" ht="16.2" thickBot="1" x14ac:dyDescent="0.35">
      <c r="A130" s="61">
        <v>3</v>
      </c>
      <c r="B130" s="36" t="s">
        <v>149</v>
      </c>
      <c r="C130" s="66">
        <v>4</v>
      </c>
      <c r="D130" s="66">
        <v>15</v>
      </c>
      <c r="E130" s="6">
        <f t="shared" si="1"/>
        <v>60</v>
      </c>
    </row>
    <row r="131" spans="1:5" ht="16.2" thickBot="1" x14ac:dyDescent="0.35">
      <c r="A131" s="61">
        <v>4</v>
      </c>
      <c r="B131" s="36" t="s">
        <v>166</v>
      </c>
      <c r="C131" s="66">
        <v>1</v>
      </c>
      <c r="D131" s="66">
        <v>45.29</v>
      </c>
      <c r="E131" s="6">
        <f t="shared" si="1"/>
        <v>45.29</v>
      </c>
    </row>
    <row r="132" spans="1:5" ht="16.2" thickBot="1" x14ac:dyDescent="0.35">
      <c r="A132" s="61">
        <v>5</v>
      </c>
      <c r="B132" s="36" t="s">
        <v>160</v>
      </c>
      <c r="C132" s="66">
        <v>1</v>
      </c>
      <c r="D132" s="66">
        <v>7.95</v>
      </c>
      <c r="E132" s="6">
        <f t="shared" si="1"/>
        <v>7.95</v>
      </c>
    </row>
    <row r="133" spans="1:5" ht="16.2" thickBot="1" x14ac:dyDescent="0.35">
      <c r="A133" s="61">
        <v>6</v>
      </c>
      <c r="B133" s="36" t="s">
        <v>161</v>
      </c>
      <c r="C133" s="66">
        <v>1</v>
      </c>
      <c r="D133" s="66">
        <v>25.66</v>
      </c>
      <c r="E133" s="6">
        <f t="shared" si="1"/>
        <v>25.66</v>
      </c>
    </row>
    <row r="134" spans="1:5" ht="16.2" thickBot="1" x14ac:dyDescent="0.35">
      <c r="A134" s="61">
        <v>7</v>
      </c>
      <c r="B134" s="36" t="s">
        <v>162</v>
      </c>
      <c r="C134" s="66">
        <v>2</v>
      </c>
      <c r="D134" s="66">
        <v>5.71</v>
      </c>
      <c r="E134" s="6">
        <f t="shared" si="1"/>
        <v>11.42</v>
      </c>
    </row>
    <row r="135" spans="1:5" ht="16.2" thickBot="1" x14ac:dyDescent="0.35">
      <c r="A135" s="61">
        <v>8</v>
      </c>
      <c r="B135" s="36" t="s">
        <v>163</v>
      </c>
      <c r="C135" s="66">
        <v>1</v>
      </c>
      <c r="D135" s="66">
        <v>2.46</v>
      </c>
      <c r="E135" s="6">
        <f t="shared" si="1"/>
        <v>2.46</v>
      </c>
    </row>
    <row r="136" spans="1:5" ht="16.2" thickBot="1" x14ac:dyDescent="0.35">
      <c r="A136" s="87" t="s">
        <v>114</v>
      </c>
      <c r="B136" s="88"/>
      <c r="C136" s="5"/>
      <c r="D136" s="5"/>
      <c r="E136" s="37">
        <f>SUM(E128:E135)</f>
        <v>334.18</v>
      </c>
    </row>
    <row r="137" spans="1:5" ht="16.2" thickBot="1" x14ac:dyDescent="0.35">
      <c r="A137" s="87" t="s">
        <v>115</v>
      </c>
      <c r="B137" s="88"/>
      <c r="C137" s="5"/>
      <c r="D137" s="5"/>
      <c r="E137" s="37">
        <f>E136/12</f>
        <v>27.848333333333333</v>
      </c>
    </row>
    <row r="138" spans="1:5" ht="16.2" thickBot="1" x14ac:dyDescent="0.35">
      <c r="A138" s="59"/>
      <c r="B138" s="59"/>
      <c r="C138" s="59"/>
    </row>
    <row r="139" spans="1:5" ht="16.2" thickBot="1" x14ac:dyDescent="0.35">
      <c r="A139" s="7">
        <v>5</v>
      </c>
      <c r="B139" s="14" t="s">
        <v>6</v>
      </c>
      <c r="C139" s="8" t="s">
        <v>16</v>
      </c>
    </row>
    <row r="140" spans="1:5" ht="16.2" thickBot="1" x14ac:dyDescent="0.35">
      <c r="A140" s="9" t="s">
        <v>17</v>
      </c>
      <c r="B140" s="10" t="s">
        <v>66</v>
      </c>
      <c r="C140" s="30">
        <f>E137</f>
        <v>27.848333333333333</v>
      </c>
    </row>
    <row r="141" spans="1:5" ht="16.2" thickBot="1" x14ac:dyDescent="0.35">
      <c r="A141" s="9" t="s">
        <v>19</v>
      </c>
      <c r="B141" s="10" t="s">
        <v>67</v>
      </c>
      <c r="C141" s="30">
        <f>'Materiais Artifice'!G54+0.48</f>
        <v>97.956768518518544</v>
      </c>
    </row>
    <row r="142" spans="1:5" ht="16.2" thickBot="1" x14ac:dyDescent="0.35">
      <c r="A142" s="9" t="s">
        <v>21</v>
      </c>
      <c r="B142" s="10" t="s">
        <v>68</v>
      </c>
      <c r="C142" s="30">
        <v>0</v>
      </c>
    </row>
    <row r="143" spans="1:5" ht="16.2" thickBot="1" x14ac:dyDescent="0.35">
      <c r="A143" s="9" t="s">
        <v>23</v>
      </c>
      <c r="B143" s="10" t="s">
        <v>28</v>
      </c>
      <c r="C143" s="30"/>
    </row>
    <row r="144" spans="1:5" ht="16.2" thickBot="1" x14ac:dyDescent="0.35">
      <c r="A144" s="82" t="s">
        <v>45</v>
      </c>
      <c r="B144" s="83"/>
      <c r="C144" s="30">
        <f>SUM(C140:C143)</f>
        <v>125.80510185185187</v>
      </c>
    </row>
    <row r="147" spans="1:5" x14ac:dyDescent="0.3">
      <c r="A147" s="81" t="s">
        <v>69</v>
      </c>
      <c r="B147" s="81"/>
      <c r="C147" s="81"/>
    </row>
    <row r="148" spans="1:5" ht="16.2" thickBot="1" x14ac:dyDescent="0.35"/>
    <row r="149" spans="1:5" ht="16.2" thickBot="1" x14ac:dyDescent="0.35">
      <c r="A149" s="7">
        <v>6</v>
      </c>
      <c r="B149" s="14" t="s">
        <v>7</v>
      </c>
      <c r="C149" s="8" t="s">
        <v>38</v>
      </c>
      <c r="D149" s="8" t="s">
        <v>16</v>
      </c>
    </row>
    <row r="150" spans="1:5" ht="16.2" thickBot="1" x14ac:dyDescent="0.35">
      <c r="A150" s="9" t="s">
        <v>17</v>
      </c>
      <c r="B150" s="10" t="s">
        <v>8</v>
      </c>
      <c r="C150" s="42">
        <v>0.03</v>
      </c>
      <c r="D150" s="40">
        <f>C167*C150</f>
        <v>98.246074845986826</v>
      </c>
    </row>
    <row r="151" spans="1:5" ht="16.2" thickBot="1" x14ac:dyDescent="0.35">
      <c r="A151" s="9" t="s">
        <v>19</v>
      </c>
      <c r="B151" s="10" t="s">
        <v>10</v>
      </c>
      <c r="C151" s="42">
        <v>6.7900000000000002E-2</v>
      </c>
      <c r="D151" s="40">
        <f>(C167+D150)*C151</f>
        <v>229.03452455012604</v>
      </c>
    </row>
    <row r="152" spans="1:5" ht="16.2" thickBot="1" x14ac:dyDescent="0.35">
      <c r="A152" s="9" t="s">
        <v>21</v>
      </c>
      <c r="B152" s="10" t="s">
        <v>9</v>
      </c>
      <c r="C152" s="38">
        <v>0.14249999999999999</v>
      </c>
      <c r="D152" s="41"/>
      <c r="E152" s="31">
        <f>(C167+D150+D151)/(1-C152)</f>
        <v>4200.7577386927196</v>
      </c>
    </row>
    <row r="153" spans="1:5" ht="16.2" thickBot="1" x14ac:dyDescent="0.35">
      <c r="A153" s="9"/>
      <c r="B153" s="10" t="s">
        <v>117</v>
      </c>
      <c r="C153" s="42">
        <v>1.6500000000000001E-2</v>
      </c>
      <c r="D153" s="40">
        <f>$E$152*C153</f>
        <v>69.312502688429873</v>
      </c>
    </row>
    <row r="154" spans="1:5" ht="16.2" thickBot="1" x14ac:dyDescent="0.35">
      <c r="A154" s="9"/>
      <c r="B154" s="10" t="s">
        <v>118</v>
      </c>
      <c r="C154" s="42">
        <v>7.5999999999999998E-2</v>
      </c>
      <c r="D154" s="40">
        <f>$E$152*C154</f>
        <v>319.2575881406467</v>
      </c>
    </row>
    <row r="155" spans="1:5" ht="16.2" thickBot="1" x14ac:dyDescent="0.35">
      <c r="A155" s="9"/>
      <c r="B155" s="10" t="s">
        <v>116</v>
      </c>
      <c r="C155" s="42">
        <v>0.05</v>
      </c>
      <c r="D155" s="40">
        <f t="shared" ref="D155" si="2">$E$152*C155</f>
        <v>210.03788693463599</v>
      </c>
    </row>
    <row r="156" spans="1:5" ht="16.2" thickBot="1" x14ac:dyDescent="0.35">
      <c r="A156" s="82" t="s">
        <v>45</v>
      </c>
      <c r="B156" s="83"/>
      <c r="C156" s="12">
        <v>0.30449999999999999</v>
      </c>
      <c r="D156" s="40">
        <f>SUM(D150:D155)</f>
        <v>925.88857715982545</v>
      </c>
      <c r="E156" s="31"/>
    </row>
    <row r="157" spans="1:5" x14ac:dyDescent="0.3">
      <c r="D157" s="31"/>
    </row>
    <row r="159" spans="1:5" x14ac:dyDescent="0.3">
      <c r="A159" s="81" t="s">
        <v>70</v>
      </c>
      <c r="B159" s="81"/>
      <c r="C159" s="81"/>
    </row>
    <row r="160" spans="1:5" ht="16.2" thickBot="1" x14ac:dyDescent="0.35"/>
    <row r="161" spans="1:5" ht="16.2" thickBot="1" x14ac:dyDescent="0.35">
      <c r="A161" s="7"/>
      <c r="B161" s="8" t="s">
        <v>71</v>
      </c>
      <c r="C161" s="8" t="s">
        <v>16</v>
      </c>
    </row>
    <row r="162" spans="1:5" ht="16.2" thickBot="1" x14ac:dyDescent="0.35">
      <c r="A162" s="16" t="s">
        <v>17</v>
      </c>
      <c r="B162" s="10" t="s">
        <v>14</v>
      </c>
      <c r="C162" s="39">
        <f>C36</f>
        <v>1346.86</v>
      </c>
    </row>
    <row r="163" spans="1:5" ht="16.2" thickBot="1" x14ac:dyDescent="0.35">
      <c r="A163" s="16" t="s">
        <v>19</v>
      </c>
      <c r="B163" s="10" t="s">
        <v>29</v>
      </c>
      <c r="C163" s="39">
        <f>C79</f>
        <v>1264.8976399999999</v>
      </c>
    </row>
    <row r="164" spans="1:5" ht="16.2" thickBot="1" x14ac:dyDescent="0.35">
      <c r="A164" s="16" t="s">
        <v>21</v>
      </c>
      <c r="B164" s="10" t="s">
        <v>53</v>
      </c>
      <c r="C164" s="39">
        <f>C91</f>
        <v>301.12204360212792</v>
      </c>
    </row>
    <row r="165" spans="1:5" ht="16.2" thickBot="1" x14ac:dyDescent="0.35">
      <c r="A165" s="16" t="s">
        <v>23</v>
      </c>
      <c r="B165" s="10" t="s">
        <v>60</v>
      </c>
      <c r="C165" s="39">
        <f>C121</f>
        <v>236.18437607891497</v>
      </c>
    </row>
    <row r="166" spans="1:5" ht="16.2" thickBot="1" x14ac:dyDescent="0.35">
      <c r="A166" s="16" t="s">
        <v>24</v>
      </c>
      <c r="B166" s="10" t="s">
        <v>65</v>
      </c>
      <c r="C166" s="39">
        <f>C144</f>
        <v>125.80510185185187</v>
      </c>
    </row>
    <row r="167" spans="1:5" ht="16.2" thickBot="1" x14ac:dyDescent="0.35">
      <c r="A167" s="82" t="s">
        <v>72</v>
      </c>
      <c r="B167" s="83"/>
      <c r="C167" s="39">
        <f>SUM(C162:C166)</f>
        <v>3274.8691615328944</v>
      </c>
    </row>
    <row r="168" spans="1:5" ht="16.2" thickBot="1" x14ac:dyDescent="0.35">
      <c r="A168" s="16" t="s">
        <v>26</v>
      </c>
      <c r="B168" s="10" t="s">
        <v>73</v>
      </c>
      <c r="C168" s="39">
        <f>D156</f>
        <v>925.88857715982545</v>
      </c>
    </row>
    <row r="169" spans="1:5" ht="16.2" thickBot="1" x14ac:dyDescent="0.35">
      <c r="A169" s="82" t="s">
        <v>74</v>
      </c>
      <c r="B169" s="83"/>
      <c r="C169" s="39">
        <f>C167+C168</f>
        <v>4200.7577386927196</v>
      </c>
    </row>
    <row r="172" spans="1:5" x14ac:dyDescent="0.3">
      <c r="A172" t="s">
        <v>319</v>
      </c>
      <c r="B172"/>
      <c r="C172"/>
      <c r="D172"/>
      <c r="E172"/>
    </row>
    <row r="173" spans="1:5" x14ac:dyDescent="0.3">
      <c r="A173"/>
      <c r="B173"/>
      <c r="C173"/>
      <c r="D173"/>
      <c r="E173"/>
    </row>
    <row r="174" spans="1:5" x14ac:dyDescent="0.3">
      <c r="A174" s="48"/>
      <c r="B174" s="48" t="s">
        <v>120</v>
      </c>
      <c r="C174" s="49"/>
      <c r="D174" s="50"/>
    </row>
    <row r="175" spans="1:5" x14ac:dyDescent="0.3">
      <c r="A175" s="51"/>
      <c r="B175" s="51" t="s">
        <v>121</v>
      </c>
      <c r="C175" s="50"/>
      <c r="D175" s="50"/>
    </row>
    <row r="176" spans="1:5" x14ac:dyDescent="0.3">
      <c r="B176" s="15" t="s">
        <v>144</v>
      </c>
      <c r="C176" s="50"/>
      <c r="D176" s="50"/>
    </row>
    <row r="177" spans="1:4" x14ac:dyDescent="0.3">
      <c r="A177" s="3"/>
      <c r="B177" s="51" t="s">
        <v>123</v>
      </c>
      <c r="C177" s="50"/>
      <c r="D177" s="50"/>
    </row>
    <row r="178" spans="1:4" x14ac:dyDescent="0.3">
      <c r="A178" s="1"/>
      <c r="B178" s="1" t="s">
        <v>124</v>
      </c>
      <c r="C178" s="1"/>
      <c r="D178" s="50"/>
    </row>
    <row r="180" spans="1:4" x14ac:dyDescent="0.3">
      <c r="B180" s="48" t="s">
        <v>120</v>
      </c>
    </row>
    <row r="181" spans="1:4" x14ac:dyDescent="0.3">
      <c r="B181" s="51" t="s">
        <v>121</v>
      </c>
    </row>
    <row r="182" spans="1:4" x14ac:dyDescent="0.3">
      <c r="B182" s="15" t="s">
        <v>122</v>
      </c>
    </row>
    <row r="183" spans="1:4" x14ac:dyDescent="0.3">
      <c r="B183" s="51" t="s">
        <v>142</v>
      </c>
    </row>
    <row r="184" spans="1:4" x14ac:dyDescent="0.3">
      <c r="B184" s="1" t="s">
        <v>143</v>
      </c>
    </row>
  </sheetData>
  <mergeCells count="47">
    <mergeCell ref="C10:E10"/>
    <mergeCell ref="A1:D1"/>
    <mergeCell ref="A2:D2"/>
    <mergeCell ref="A3:D3"/>
    <mergeCell ref="A8:E8"/>
    <mergeCell ref="C9:E9"/>
    <mergeCell ref="A27:C27"/>
    <mergeCell ref="C11:E11"/>
    <mergeCell ref="C12:E12"/>
    <mergeCell ref="A14:C14"/>
    <mergeCell ref="C15:E15"/>
    <mergeCell ref="C16:D16"/>
    <mergeCell ref="A18:E18"/>
    <mergeCell ref="A19:E19"/>
    <mergeCell ref="C20:E20"/>
    <mergeCell ref="C21:E21"/>
    <mergeCell ref="C22:E22"/>
    <mergeCell ref="C23:E23"/>
    <mergeCell ref="A91:B91"/>
    <mergeCell ref="A36:B36"/>
    <mergeCell ref="A39:C39"/>
    <mergeCell ref="A41:C41"/>
    <mergeCell ref="A46:B46"/>
    <mergeCell ref="A49:D49"/>
    <mergeCell ref="A60:B60"/>
    <mergeCell ref="A63:C63"/>
    <mergeCell ref="A70:B70"/>
    <mergeCell ref="A73:C73"/>
    <mergeCell ref="A79:B79"/>
    <mergeCell ref="A82:C82"/>
    <mergeCell ref="A144:B144"/>
    <mergeCell ref="A94:C94"/>
    <mergeCell ref="A97:C97"/>
    <mergeCell ref="A106:B106"/>
    <mergeCell ref="A109:C109"/>
    <mergeCell ref="A113:B113"/>
    <mergeCell ref="A116:C116"/>
    <mergeCell ref="A121:B121"/>
    <mergeCell ref="A124:C124"/>
    <mergeCell ref="A126:E126"/>
    <mergeCell ref="A136:B136"/>
    <mergeCell ref="A137:B137"/>
    <mergeCell ref="A147:C147"/>
    <mergeCell ref="A156:B156"/>
    <mergeCell ref="A159:C159"/>
    <mergeCell ref="A167:B167"/>
    <mergeCell ref="A169:B169"/>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8039-8CE5-406A-85E8-8143AB265085}">
  <dimension ref="A1:H69"/>
  <sheetViews>
    <sheetView topLeftCell="A4" zoomScaleNormal="100" zoomScaleSheetLayoutView="70" workbookViewId="0">
      <selection activeCell="G5" sqref="G5"/>
    </sheetView>
  </sheetViews>
  <sheetFormatPr defaultRowHeight="14.4" x14ac:dyDescent="0.3"/>
  <cols>
    <col min="2" max="2" width="43.44140625" customWidth="1"/>
    <col min="5" max="5" width="10.44140625" customWidth="1"/>
    <col min="6" max="6" width="10.5546875" bestFit="1" customWidth="1"/>
    <col min="7" max="7" width="17.6640625" customWidth="1"/>
  </cols>
  <sheetData>
    <row r="1" spans="1:8" ht="15" customHeight="1" x14ac:dyDescent="0.3">
      <c r="A1" s="102" t="s">
        <v>264</v>
      </c>
      <c r="B1" s="103"/>
      <c r="C1" s="103"/>
      <c r="D1" s="103"/>
      <c r="E1" s="103"/>
      <c r="F1" s="103"/>
      <c r="G1" s="103"/>
      <c r="H1" s="103"/>
    </row>
    <row r="2" spans="1:8" ht="15" customHeight="1" x14ac:dyDescent="0.3">
      <c r="A2" s="104"/>
      <c r="B2" s="105"/>
      <c r="C2" s="105"/>
      <c r="D2" s="105"/>
      <c r="E2" s="105"/>
      <c r="F2" s="105"/>
      <c r="G2" s="105"/>
      <c r="H2" s="105"/>
    </row>
    <row r="3" spans="1:8" ht="15.6" x14ac:dyDescent="0.3">
      <c r="A3" s="100" t="s">
        <v>119</v>
      </c>
      <c r="B3" s="100" t="s">
        <v>125</v>
      </c>
      <c r="C3" s="100" t="s">
        <v>126</v>
      </c>
      <c r="D3" s="100" t="s">
        <v>127</v>
      </c>
      <c r="E3" s="100" t="s">
        <v>265</v>
      </c>
      <c r="F3" s="100" t="s">
        <v>129</v>
      </c>
      <c r="G3" s="100"/>
      <c r="H3" s="100" t="s">
        <v>128</v>
      </c>
    </row>
    <row r="4" spans="1:8" ht="31.2" x14ac:dyDescent="0.3">
      <c r="A4" s="101"/>
      <c r="B4" s="101"/>
      <c r="C4" s="101"/>
      <c r="D4" s="101"/>
      <c r="E4" s="101"/>
      <c r="F4" s="43" t="s">
        <v>130</v>
      </c>
      <c r="G4" s="43" t="s">
        <v>131</v>
      </c>
      <c r="H4" s="101"/>
    </row>
    <row r="5" spans="1:8" ht="39.6" x14ac:dyDescent="0.3">
      <c r="A5" s="52">
        <v>1</v>
      </c>
      <c r="B5" s="44" t="s">
        <v>214</v>
      </c>
      <c r="C5" s="45" t="s">
        <v>133</v>
      </c>
      <c r="D5" s="70">
        <v>6</v>
      </c>
      <c r="E5" s="70">
        <v>60</v>
      </c>
      <c r="F5" s="63">
        <v>64.87</v>
      </c>
      <c r="G5" s="53">
        <f>D5*F5/E5</f>
        <v>6.4870000000000001</v>
      </c>
      <c r="H5" s="18"/>
    </row>
    <row r="6" spans="1:8" ht="15.6" x14ac:dyDescent="0.3">
      <c r="A6" s="52">
        <v>2</v>
      </c>
      <c r="B6" s="44" t="s">
        <v>215</v>
      </c>
      <c r="C6" s="45" t="s">
        <v>133</v>
      </c>
      <c r="D6" s="70">
        <v>6</v>
      </c>
      <c r="E6" s="70">
        <v>12</v>
      </c>
      <c r="F6" s="63">
        <v>11.19</v>
      </c>
      <c r="G6" s="53">
        <f t="shared" ref="G6:G52" si="0">D6*F6/E6</f>
        <v>5.5949999999999998</v>
      </c>
      <c r="H6" s="18"/>
    </row>
    <row r="7" spans="1:8" ht="15.6" x14ac:dyDescent="0.3">
      <c r="A7" s="52">
        <v>3</v>
      </c>
      <c r="B7" s="44" t="s">
        <v>216</v>
      </c>
      <c r="C7" s="45" t="s">
        <v>133</v>
      </c>
      <c r="D7" s="45">
        <v>6</v>
      </c>
      <c r="E7" s="70">
        <v>12</v>
      </c>
      <c r="F7" s="63">
        <v>12.01</v>
      </c>
      <c r="G7" s="53">
        <f t="shared" si="0"/>
        <v>6.0049999999999999</v>
      </c>
      <c r="H7" s="18"/>
    </row>
    <row r="8" spans="1:8" ht="15.6" x14ac:dyDescent="0.3">
      <c r="A8" s="52">
        <v>4</v>
      </c>
      <c r="B8" s="44" t="s">
        <v>217</v>
      </c>
      <c r="C8" s="45" t="s">
        <v>133</v>
      </c>
      <c r="D8" s="45">
        <v>6</v>
      </c>
      <c r="E8" s="70">
        <v>12</v>
      </c>
      <c r="F8" s="63">
        <v>14.59</v>
      </c>
      <c r="G8" s="53">
        <f t="shared" si="0"/>
        <v>7.294999999999999</v>
      </c>
      <c r="H8" s="18"/>
    </row>
    <row r="9" spans="1:8" ht="15.6" x14ac:dyDescent="0.3">
      <c r="A9" s="52">
        <v>5</v>
      </c>
      <c r="B9" s="44" t="s">
        <v>218</v>
      </c>
      <c r="C9" s="45" t="s">
        <v>133</v>
      </c>
      <c r="D9" s="45">
        <v>6</v>
      </c>
      <c r="E9" s="70">
        <v>12</v>
      </c>
      <c r="F9" s="63">
        <v>15.96</v>
      </c>
      <c r="G9" s="53">
        <f t="shared" si="0"/>
        <v>7.98</v>
      </c>
      <c r="H9" s="18"/>
    </row>
    <row r="10" spans="1:8" ht="15.6" x14ac:dyDescent="0.3">
      <c r="A10" s="52">
        <v>6</v>
      </c>
      <c r="B10" s="44" t="s">
        <v>219</v>
      </c>
      <c r="C10" s="45" t="s">
        <v>133</v>
      </c>
      <c r="D10" s="45">
        <v>6</v>
      </c>
      <c r="E10" s="70">
        <v>12</v>
      </c>
      <c r="F10" s="63">
        <v>20.37</v>
      </c>
      <c r="G10" s="53">
        <f t="shared" si="0"/>
        <v>10.185</v>
      </c>
      <c r="H10" s="18"/>
    </row>
    <row r="11" spans="1:8" ht="15.6" x14ac:dyDescent="0.3">
      <c r="A11" s="52">
        <v>7</v>
      </c>
      <c r="B11" s="44" t="s">
        <v>220</v>
      </c>
      <c r="C11" s="45" t="s">
        <v>133</v>
      </c>
      <c r="D11" s="45">
        <v>6</v>
      </c>
      <c r="E11" s="70">
        <v>12</v>
      </c>
      <c r="F11" s="63">
        <v>19</v>
      </c>
      <c r="G11" s="53">
        <f t="shared" si="0"/>
        <v>9.5</v>
      </c>
      <c r="H11" s="18"/>
    </row>
    <row r="12" spans="1:8" ht="15.6" x14ac:dyDescent="0.3">
      <c r="A12" s="52">
        <v>8</v>
      </c>
      <c r="B12" s="44" t="s">
        <v>221</v>
      </c>
      <c r="C12" s="45" t="s">
        <v>133</v>
      </c>
      <c r="D12" s="45">
        <v>6</v>
      </c>
      <c r="E12" s="70">
        <v>12</v>
      </c>
      <c r="F12" s="63">
        <v>27.66</v>
      </c>
      <c r="G12" s="53">
        <f t="shared" si="0"/>
        <v>13.83</v>
      </c>
      <c r="H12" s="18"/>
    </row>
    <row r="13" spans="1:8" ht="15.6" x14ac:dyDescent="0.3">
      <c r="A13" s="52">
        <v>9</v>
      </c>
      <c r="B13" s="44" t="s">
        <v>222</v>
      </c>
      <c r="C13" s="45" t="s">
        <v>133</v>
      </c>
      <c r="D13" s="45">
        <v>6</v>
      </c>
      <c r="E13" s="70">
        <v>12</v>
      </c>
      <c r="F13" s="63">
        <v>14.59</v>
      </c>
      <c r="G13" s="53">
        <f t="shared" si="0"/>
        <v>7.294999999999999</v>
      </c>
      <c r="H13" s="18"/>
    </row>
    <row r="14" spans="1:8" ht="15.6" x14ac:dyDescent="0.3">
      <c r="A14" s="52">
        <v>10</v>
      </c>
      <c r="B14" s="44" t="s">
        <v>223</v>
      </c>
      <c r="C14" s="45" t="s">
        <v>133</v>
      </c>
      <c r="D14" s="45">
        <v>6</v>
      </c>
      <c r="E14" s="70">
        <v>12</v>
      </c>
      <c r="F14" s="63">
        <v>17.41</v>
      </c>
      <c r="G14" s="53">
        <f t="shared" si="0"/>
        <v>8.7050000000000001</v>
      </c>
      <c r="H14" s="18"/>
    </row>
    <row r="15" spans="1:8" ht="15.6" x14ac:dyDescent="0.3">
      <c r="A15" s="52">
        <v>11</v>
      </c>
      <c r="B15" s="44" t="s">
        <v>224</v>
      </c>
      <c r="C15" s="45" t="s">
        <v>133</v>
      </c>
      <c r="D15" s="45">
        <v>6</v>
      </c>
      <c r="E15" s="70">
        <v>12</v>
      </c>
      <c r="F15" s="63">
        <v>7.29</v>
      </c>
      <c r="G15" s="53">
        <f t="shared" si="0"/>
        <v>3.645</v>
      </c>
      <c r="H15" s="18"/>
    </row>
    <row r="16" spans="1:8" ht="15.6" x14ac:dyDescent="0.3">
      <c r="A16" s="52">
        <v>12</v>
      </c>
      <c r="B16" s="44" t="s">
        <v>225</v>
      </c>
      <c r="C16" s="45" t="s">
        <v>133</v>
      </c>
      <c r="D16" s="45">
        <v>6</v>
      </c>
      <c r="E16" s="70">
        <v>12</v>
      </c>
      <c r="F16" s="63">
        <v>8.75</v>
      </c>
      <c r="G16" s="53">
        <f t="shared" si="0"/>
        <v>4.375</v>
      </c>
      <c r="H16" s="18"/>
    </row>
    <row r="17" spans="1:8" ht="26.4" x14ac:dyDescent="0.3">
      <c r="A17" s="52">
        <v>13</v>
      </c>
      <c r="B17" s="44" t="s">
        <v>226</v>
      </c>
      <c r="C17" s="45" t="s">
        <v>133</v>
      </c>
      <c r="D17" s="45">
        <v>6</v>
      </c>
      <c r="E17" s="70">
        <v>12</v>
      </c>
      <c r="F17" s="63">
        <v>55.91</v>
      </c>
      <c r="G17" s="53">
        <f t="shared" si="0"/>
        <v>27.954999999999998</v>
      </c>
      <c r="H17" s="18"/>
    </row>
    <row r="18" spans="1:8" ht="26.4" x14ac:dyDescent="0.3">
      <c r="A18" s="52">
        <v>14</v>
      </c>
      <c r="B18" s="44" t="s">
        <v>227</v>
      </c>
      <c r="C18" s="45" t="s">
        <v>133</v>
      </c>
      <c r="D18" s="45">
        <v>6</v>
      </c>
      <c r="E18" s="70">
        <v>12</v>
      </c>
      <c r="F18" s="63">
        <v>80.91</v>
      </c>
      <c r="G18" s="53">
        <f t="shared" si="0"/>
        <v>40.454999999999998</v>
      </c>
      <c r="H18" s="18"/>
    </row>
    <row r="19" spans="1:8" ht="26.4" x14ac:dyDescent="0.3">
      <c r="A19" s="52">
        <v>15</v>
      </c>
      <c r="B19" s="44" t="s">
        <v>228</v>
      </c>
      <c r="C19" s="45" t="s">
        <v>133</v>
      </c>
      <c r="D19" s="45">
        <v>6</v>
      </c>
      <c r="E19" s="70">
        <v>12</v>
      </c>
      <c r="F19" s="63">
        <v>48.59</v>
      </c>
      <c r="G19" s="53">
        <f t="shared" si="0"/>
        <v>24.295000000000002</v>
      </c>
      <c r="H19" s="18"/>
    </row>
    <row r="20" spans="1:8" ht="15.6" x14ac:dyDescent="0.3">
      <c r="A20" s="52">
        <v>16</v>
      </c>
      <c r="B20" s="44" t="s">
        <v>229</v>
      </c>
      <c r="C20" s="45" t="s">
        <v>133</v>
      </c>
      <c r="D20" s="45">
        <v>6</v>
      </c>
      <c r="E20" s="70">
        <v>12</v>
      </c>
      <c r="F20" s="63">
        <v>3.56</v>
      </c>
      <c r="G20" s="53">
        <f t="shared" si="0"/>
        <v>1.78</v>
      </c>
      <c r="H20" s="18"/>
    </row>
    <row r="21" spans="1:8" ht="15.6" x14ac:dyDescent="0.3">
      <c r="A21" s="52">
        <v>17</v>
      </c>
      <c r="B21" s="44" t="s">
        <v>230</v>
      </c>
      <c r="C21" s="45" t="s">
        <v>133</v>
      </c>
      <c r="D21" s="45">
        <v>6</v>
      </c>
      <c r="E21" s="45">
        <v>12</v>
      </c>
      <c r="F21" s="63">
        <v>2.68</v>
      </c>
      <c r="G21" s="53">
        <f t="shared" si="0"/>
        <v>1.34</v>
      </c>
      <c r="H21" s="18"/>
    </row>
    <row r="22" spans="1:8" ht="15.6" x14ac:dyDescent="0.3">
      <c r="A22" s="52">
        <v>18</v>
      </c>
      <c r="B22" s="44" t="s">
        <v>231</v>
      </c>
      <c r="C22" s="45" t="s">
        <v>133</v>
      </c>
      <c r="D22" s="45">
        <v>6</v>
      </c>
      <c r="E22" s="45">
        <v>12</v>
      </c>
      <c r="F22" s="63">
        <v>3.31</v>
      </c>
      <c r="G22" s="53">
        <f t="shared" si="0"/>
        <v>1.655</v>
      </c>
      <c r="H22" s="18"/>
    </row>
    <row r="23" spans="1:8" ht="15.6" x14ac:dyDescent="0.3">
      <c r="A23" s="52">
        <v>19</v>
      </c>
      <c r="B23" s="44" t="s">
        <v>232</v>
      </c>
      <c r="C23" s="45" t="s">
        <v>133</v>
      </c>
      <c r="D23" s="45">
        <v>6</v>
      </c>
      <c r="E23" s="45">
        <v>12</v>
      </c>
      <c r="F23" s="63">
        <v>8.06</v>
      </c>
      <c r="G23" s="53">
        <f t="shared" si="0"/>
        <v>4.03</v>
      </c>
      <c r="H23" s="18"/>
    </row>
    <row r="24" spans="1:8" ht="15.6" x14ac:dyDescent="0.3">
      <c r="A24" s="52">
        <v>20</v>
      </c>
      <c r="B24" s="44" t="s">
        <v>233</v>
      </c>
      <c r="C24" s="45" t="s">
        <v>133</v>
      </c>
      <c r="D24" s="45">
        <v>6</v>
      </c>
      <c r="E24" s="45">
        <v>12</v>
      </c>
      <c r="F24" s="63">
        <v>7.71</v>
      </c>
      <c r="G24" s="53">
        <f t="shared" si="0"/>
        <v>3.855</v>
      </c>
      <c r="H24" s="18"/>
    </row>
    <row r="25" spans="1:8" ht="15.6" x14ac:dyDescent="0.3">
      <c r="A25" s="52">
        <v>21</v>
      </c>
      <c r="B25" s="44" t="s">
        <v>234</v>
      </c>
      <c r="C25" s="45" t="s">
        <v>133</v>
      </c>
      <c r="D25" s="45">
        <v>6</v>
      </c>
      <c r="E25" s="45">
        <v>12</v>
      </c>
      <c r="F25" s="63">
        <v>21.52</v>
      </c>
      <c r="G25" s="53">
        <f t="shared" si="0"/>
        <v>10.76</v>
      </c>
      <c r="H25" s="18"/>
    </row>
    <row r="26" spans="1:8" ht="15.6" x14ac:dyDescent="0.3">
      <c r="A26" s="52">
        <v>22</v>
      </c>
      <c r="B26" s="44" t="s">
        <v>235</v>
      </c>
      <c r="C26" s="45" t="s">
        <v>133</v>
      </c>
      <c r="D26" s="45">
        <v>6</v>
      </c>
      <c r="E26" s="45">
        <v>12</v>
      </c>
      <c r="F26" s="63">
        <v>2.4900000000000002</v>
      </c>
      <c r="G26" s="53">
        <f t="shared" si="0"/>
        <v>1.2450000000000001</v>
      </c>
      <c r="H26" s="18"/>
    </row>
    <row r="27" spans="1:8" ht="26.4" x14ac:dyDescent="0.3">
      <c r="A27" s="52">
        <v>23</v>
      </c>
      <c r="B27" s="44" t="s">
        <v>236</v>
      </c>
      <c r="C27" s="45" t="s">
        <v>133</v>
      </c>
      <c r="D27" s="45">
        <v>6</v>
      </c>
      <c r="E27" s="45">
        <v>12</v>
      </c>
      <c r="F27" s="63">
        <v>17.16</v>
      </c>
      <c r="G27" s="53">
        <f t="shared" si="0"/>
        <v>8.58</v>
      </c>
      <c r="H27" s="18"/>
    </row>
    <row r="28" spans="1:8" ht="15.6" x14ac:dyDescent="0.3">
      <c r="A28" s="52">
        <v>24</v>
      </c>
      <c r="B28" s="44" t="s">
        <v>296</v>
      </c>
      <c r="C28" s="45" t="s">
        <v>133</v>
      </c>
      <c r="D28" s="45">
        <v>6</v>
      </c>
      <c r="E28" s="45">
        <v>12</v>
      </c>
      <c r="F28" s="63">
        <v>41.68</v>
      </c>
      <c r="G28" s="53">
        <f t="shared" si="0"/>
        <v>20.84</v>
      </c>
      <c r="H28" s="18"/>
    </row>
    <row r="29" spans="1:8" ht="26.4" x14ac:dyDescent="0.3">
      <c r="A29" s="52">
        <v>25</v>
      </c>
      <c r="B29" s="44" t="s">
        <v>237</v>
      </c>
      <c r="C29" s="45" t="s">
        <v>133</v>
      </c>
      <c r="D29" s="45">
        <v>6</v>
      </c>
      <c r="E29" s="70">
        <v>12</v>
      </c>
      <c r="F29" s="63">
        <v>7.28</v>
      </c>
      <c r="G29" s="53">
        <f t="shared" si="0"/>
        <v>3.64</v>
      </c>
      <c r="H29" s="18"/>
    </row>
    <row r="30" spans="1:8" ht="26.4" x14ac:dyDescent="0.3">
      <c r="A30" s="52">
        <v>26</v>
      </c>
      <c r="B30" s="44" t="s">
        <v>238</v>
      </c>
      <c r="C30" s="45" t="s">
        <v>133</v>
      </c>
      <c r="D30" s="45">
        <v>6</v>
      </c>
      <c r="E30" s="70">
        <v>12</v>
      </c>
      <c r="F30" s="63">
        <v>3.94</v>
      </c>
      <c r="G30" s="53">
        <f t="shared" si="0"/>
        <v>1.97</v>
      </c>
      <c r="H30" s="18"/>
    </row>
    <row r="31" spans="1:8" ht="39.6" x14ac:dyDescent="0.3">
      <c r="A31" s="52">
        <v>27</v>
      </c>
      <c r="B31" s="44" t="s">
        <v>239</v>
      </c>
      <c r="C31" s="45" t="s">
        <v>133</v>
      </c>
      <c r="D31" s="45">
        <v>6</v>
      </c>
      <c r="E31" s="70">
        <v>12</v>
      </c>
      <c r="F31" s="63">
        <v>108</v>
      </c>
      <c r="G31" s="53">
        <f t="shared" si="0"/>
        <v>54</v>
      </c>
      <c r="H31" s="18"/>
    </row>
    <row r="32" spans="1:8" ht="26.4" x14ac:dyDescent="0.3">
      <c r="A32" s="52">
        <v>28</v>
      </c>
      <c r="B32" s="44" t="s">
        <v>240</v>
      </c>
      <c r="C32" s="45" t="s">
        <v>133</v>
      </c>
      <c r="D32" s="45">
        <v>6</v>
      </c>
      <c r="E32" s="70">
        <v>12</v>
      </c>
      <c r="F32" s="63">
        <v>19.84</v>
      </c>
      <c r="G32" s="53">
        <f t="shared" si="0"/>
        <v>9.92</v>
      </c>
      <c r="H32" s="18"/>
    </row>
    <row r="33" spans="1:8" ht="26.4" x14ac:dyDescent="0.3">
      <c r="A33" s="52">
        <v>29</v>
      </c>
      <c r="B33" s="44" t="s">
        <v>241</v>
      </c>
      <c r="C33" s="45" t="s">
        <v>133</v>
      </c>
      <c r="D33" s="45">
        <v>6</v>
      </c>
      <c r="E33" s="70">
        <v>12</v>
      </c>
      <c r="F33" s="63">
        <v>19.25</v>
      </c>
      <c r="G33" s="53">
        <f t="shared" si="0"/>
        <v>9.625</v>
      </c>
      <c r="H33" s="18"/>
    </row>
    <row r="34" spans="1:8" ht="15.6" x14ac:dyDescent="0.3">
      <c r="A34" s="52">
        <v>30</v>
      </c>
      <c r="B34" s="44" t="s">
        <v>242</v>
      </c>
      <c r="C34" s="45" t="s">
        <v>133</v>
      </c>
      <c r="D34" s="45">
        <v>6</v>
      </c>
      <c r="E34" s="70">
        <v>24</v>
      </c>
      <c r="F34" s="63">
        <v>41.89</v>
      </c>
      <c r="G34" s="53">
        <f t="shared" si="0"/>
        <v>10.4725</v>
      </c>
      <c r="H34" s="18"/>
    </row>
    <row r="35" spans="1:8" ht="15.6" x14ac:dyDescent="0.3">
      <c r="A35" s="52">
        <v>31</v>
      </c>
      <c r="B35" s="44" t="s">
        <v>243</v>
      </c>
      <c r="C35" s="45" t="s">
        <v>133</v>
      </c>
      <c r="D35" s="45">
        <v>6</v>
      </c>
      <c r="E35" s="70">
        <v>12</v>
      </c>
      <c r="F35" s="63">
        <v>12.98</v>
      </c>
      <c r="G35" s="53">
        <f t="shared" si="0"/>
        <v>6.4899999999999993</v>
      </c>
      <c r="H35" s="18"/>
    </row>
    <row r="36" spans="1:8" ht="15.6" x14ac:dyDescent="0.3">
      <c r="A36" s="52">
        <v>32</v>
      </c>
      <c r="B36" s="44" t="s">
        <v>244</v>
      </c>
      <c r="C36" s="45" t="s">
        <v>133</v>
      </c>
      <c r="D36" s="45">
        <v>6</v>
      </c>
      <c r="E36" s="70">
        <v>12</v>
      </c>
      <c r="F36" s="63">
        <v>17.239999999999998</v>
      </c>
      <c r="G36" s="53">
        <f t="shared" si="0"/>
        <v>8.6199999999999992</v>
      </c>
      <c r="H36" s="18"/>
    </row>
    <row r="37" spans="1:8" ht="15.6" x14ac:dyDescent="0.3">
      <c r="A37" s="52">
        <v>33</v>
      </c>
      <c r="B37" s="44" t="s">
        <v>245</v>
      </c>
      <c r="C37" s="45" t="s">
        <v>133</v>
      </c>
      <c r="D37" s="45">
        <v>6</v>
      </c>
      <c r="E37" s="70">
        <v>12</v>
      </c>
      <c r="F37" s="63">
        <v>12.13</v>
      </c>
      <c r="G37" s="53">
        <f t="shared" si="0"/>
        <v>6.0650000000000004</v>
      </c>
      <c r="H37" s="18"/>
    </row>
    <row r="38" spans="1:8" ht="15.6" x14ac:dyDescent="0.3">
      <c r="A38" s="52">
        <v>34</v>
      </c>
      <c r="B38" s="44" t="s">
        <v>246</v>
      </c>
      <c r="C38" s="45" t="s">
        <v>133</v>
      </c>
      <c r="D38" s="45">
        <v>6</v>
      </c>
      <c r="E38" s="70">
        <v>12</v>
      </c>
      <c r="F38" s="63">
        <v>14.55</v>
      </c>
      <c r="G38" s="53">
        <f t="shared" si="0"/>
        <v>7.2750000000000012</v>
      </c>
      <c r="H38" s="18"/>
    </row>
    <row r="39" spans="1:8" ht="15.6" x14ac:dyDescent="0.3">
      <c r="A39" s="52">
        <v>35</v>
      </c>
      <c r="B39" s="44" t="s">
        <v>247</v>
      </c>
      <c r="C39" s="45" t="s">
        <v>133</v>
      </c>
      <c r="D39" s="45">
        <v>6</v>
      </c>
      <c r="E39" s="70">
        <v>12</v>
      </c>
      <c r="F39" s="63">
        <v>13.93</v>
      </c>
      <c r="G39" s="53">
        <f t="shared" si="0"/>
        <v>6.9649999999999999</v>
      </c>
      <c r="H39" s="18"/>
    </row>
    <row r="40" spans="1:8" ht="15.6" x14ac:dyDescent="0.3">
      <c r="A40" s="52">
        <v>36</v>
      </c>
      <c r="B40" s="44" t="s">
        <v>248</v>
      </c>
      <c r="C40" s="45"/>
      <c r="D40" s="45">
        <v>6</v>
      </c>
      <c r="E40" s="70">
        <v>12</v>
      </c>
      <c r="F40" s="63">
        <v>17.8</v>
      </c>
      <c r="G40" s="53">
        <f t="shared" si="0"/>
        <v>8.9</v>
      </c>
      <c r="H40" s="18"/>
    </row>
    <row r="41" spans="1:8" ht="15.6" x14ac:dyDescent="0.3">
      <c r="A41" s="52">
        <v>37</v>
      </c>
      <c r="B41" s="44" t="s">
        <v>249</v>
      </c>
      <c r="C41" s="45"/>
      <c r="D41" s="45">
        <v>6</v>
      </c>
      <c r="E41" s="70">
        <v>12</v>
      </c>
      <c r="F41" s="63">
        <v>22.58</v>
      </c>
      <c r="G41" s="53">
        <f t="shared" si="0"/>
        <v>11.29</v>
      </c>
      <c r="H41" s="18"/>
    </row>
    <row r="42" spans="1:8" ht="15.6" x14ac:dyDescent="0.3">
      <c r="A42" s="52">
        <v>38</v>
      </c>
      <c r="B42" s="44" t="s">
        <v>250</v>
      </c>
      <c r="C42" s="45" t="s">
        <v>133</v>
      </c>
      <c r="D42" s="45">
        <v>6</v>
      </c>
      <c r="E42" s="70">
        <v>12</v>
      </c>
      <c r="F42" s="63">
        <v>54.99</v>
      </c>
      <c r="G42" s="53">
        <f t="shared" si="0"/>
        <v>27.495000000000001</v>
      </c>
      <c r="H42" s="18"/>
    </row>
    <row r="43" spans="1:8" ht="15.6" x14ac:dyDescent="0.3">
      <c r="A43" s="52">
        <v>39</v>
      </c>
      <c r="B43" s="44" t="s">
        <v>251</v>
      </c>
      <c r="C43" s="45" t="s">
        <v>133</v>
      </c>
      <c r="D43" s="45">
        <v>2</v>
      </c>
      <c r="E43" s="70">
        <v>24</v>
      </c>
      <c r="F43" s="63">
        <v>749.89</v>
      </c>
      <c r="G43" s="53">
        <f t="shared" si="0"/>
        <v>62.490833333333335</v>
      </c>
      <c r="H43" s="18"/>
    </row>
    <row r="44" spans="1:8" ht="15.6" x14ac:dyDescent="0.3">
      <c r="A44" s="52">
        <v>40</v>
      </c>
      <c r="B44" s="44" t="s">
        <v>252</v>
      </c>
      <c r="C44" s="45" t="s">
        <v>133</v>
      </c>
      <c r="D44" s="45">
        <v>3</v>
      </c>
      <c r="E44" s="70">
        <v>12</v>
      </c>
      <c r="F44" s="63">
        <v>17.16</v>
      </c>
      <c r="G44" s="53">
        <f t="shared" si="0"/>
        <v>4.29</v>
      </c>
      <c r="H44" s="18"/>
    </row>
    <row r="45" spans="1:8" ht="15.6" x14ac:dyDescent="0.3">
      <c r="A45" s="52">
        <v>41</v>
      </c>
      <c r="B45" s="44" t="s">
        <v>253</v>
      </c>
      <c r="C45" s="45" t="s">
        <v>133</v>
      </c>
      <c r="D45" s="45">
        <v>3</v>
      </c>
      <c r="E45" s="70">
        <v>12</v>
      </c>
      <c r="F45" s="63">
        <v>9.69</v>
      </c>
      <c r="G45" s="53">
        <f t="shared" si="0"/>
        <v>2.4224999999999999</v>
      </c>
      <c r="H45" s="18"/>
    </row>
    <row r="46" spans="1:8" ht="15.6" x14ac:dyDescent="0.3">
      <c r="A46" s="52">
        <v>42</v>
      </c>
      <c r="B46" s="44" t="s">
        <v>254</v>
      </c>
      <c r="C46" s="45" t="s">
        <v>133</v>
      </c>
      <c r="D46" s="45">
        <v>2</v>
      </c>
      <c r="E46" s="70">
        <v>12</v>
      </c>
      <c r="F46" s="63">
        <v>18.399999999999999</v>
      </c>
      <c r="G46" s="53">
        <f t="shared" si="0"/>
        <v>3.0666666666666664</v>
      </c>
      <c r="H46" s="18"/>
    </row>
    <row r="47" spans="1:8" ht="15.6" x14ac:dyDescent="0.3">
      <c r="A47" s="52">
        <v>43</v>
      </c>
      <c r="B47" s="44" t="s">
        <v>255</v>
      </c>
      <c r="C47" s="45" t="s">
        <v>132</v>
      </c>
      <c r="D47" s="45">
        <v>5</v>
      </c>
      <c r="E47" s="70">
        <v>12</v>
      </c>
      <c r="F47" s="63">
        <v>5</v>
      </c>
      <c r="G47" s="53">
        <f t="shared" si="0"/>
        <v>2.0833333333333335</v>
      </c>
      <c r="H47" s="18"/>
    </row>
    <row r="48" spans="1:8" ht="26.4" x14ac:dyDescent="0.3">
      <c r="A48" s="52">
        <v>44</v>
      </c>
      <c r="B48" s="44" t="s">
        <v>256</v>
      </c>
      <c r="C48" s="45" t="s">
        <v>133</v>
      </c>
      <c r="D48" s="45">
        <v>2</v>
      </c>
      <c r="E48" s="70">
        <v>24</v>
      </c>
      <c r="F48" s="63">
        <v>343</v>
      </c>
      <c r="G48" s="53">
        <f t="shared" si="0"/>
        <v>28.583333333333332</v>
      </c>
      <c r="H48" s="18"/>
    </row>
    <row r="49" spans="1:8" ht="15.6" x14ac:dyDescent="0.3">
      <c r="A49" s="52">
        <v>45</v>
      </c>
      <c r="B49" s="44" t="s">
        <v>257</v>
      </c>
      <c r="C49" s="45" t="s">
        <v>133</v>
      </c>
      <c r="D49" s="45">
        <v>2</v>
      </c>
      <c r="E49" s="70">
        <v>24</v>
      </c>
      <c r="F49" s="63">
        <v>361.74</v>
      </c>
      <c r="G49" s="53">
        <f t="shared" si="0"/>
        <v>30.145</v>
      </c>
      <c r="H49" s="18"/>
    </row>
    <row r="50" spans="1:8" ht="15.6" x14ac:dyDescent="0.3">
      <c r="A50" s="52">
        <v>46</v>
      </c>
      <c r="B50" s="44" t="s">
        <v>258</v>
      </c>
      <c r="C50" s="45" t="s">
        <v>261</v>
      </c>
      <c r="D50" s="45">
        <v>2</v>
      </c>
      <c r="E50" s="70">
        <v>24</v>
      </c>
      <c r="F50" s="63">
        <v>104.74</v>
      </c>
      <c r="G50" s="53">
        <f t="shared" si="0"/>
        <v>8.7283333333333335</v>
      </c>
      <c r="H50" s="18"/>
    </row>
    <row r="51" spans="1:8" ht="15.6" x14ac:dyDescent="0.3">
      <c r="A51" s="52">
        <v>47</v>
      </c>
      <c r="B51" s="44" t="s">
        <v>259</v>
      </c>
      <c r="C51" s="45" t="s">
        <v>261</v>
      </c>
      <c r="D51" s="45">
        <v>2</v>
      </c>
      <c r="E51" s="70">
        <v>36</v>
      </c>
      <c r="F51" s="63">
        <v>143.61000000000001</v>
      </c>
      <c r="G51" s="53">
        <f t="shared" si="0"/>
        <v>7.9783333333333344</v>
      </c>
      <c r="H51" s="18"/>
    </row>
    <row r="52" spans="1:8" ht="15.6" x14ac:dyDescent="0.3">
      <c r="A52" s="52">
        <v>48</v>
      </c>
      <c r="B52" s="44" t="s">
        <v>260</v>
      </c>
      <c r="C52" s="45" t="s">
        <v>261</v>
      </c>
      <c r="D52" s="45">
        <v>2</v>
      </c>
      <c r="E52" s="70">
        <v>36</v>
      </c>
      <c r="F52" s="63">
        <v>443.84</v>
      </c>
      <c r="G52" s="53">
        <f t="shared" si="0"/>
        <v>24.657777777777778</v>
      </c>
      <c r="H52" s="18"/>
    </row>
    <row r="53" spans="1:8" ht="15.6" x14ac:dyDescent="0.3">
      <c r="A53" s="106" t="s">
        <v>262</v>
      </c>
      <c r="B53" s="106"/>
      <c r="C53" s="107"/>
      <c r="D53" s="107"/>
      <c r="E53" s="107"/>
      <c r="F53" s="106"/>
      <c r="G53" s="54">
        <f>SUM(G5:G52)</f>
        <v>584.86061111111121</v>
      </c>
    </row>
    <row r="54" spans="1:8" ht="15.6" x14ac:dyDescent="0.3">
      <c r="A54" s="106" t="s">
        <v>263</v>
      </c>
      <c r="B54" s="106"/>
      <c r="C54" s="106"/>
      <c r="D54" s="106"/>
      <c r="E54" s="106"/>
      <c r="F54" s="106"/>
      <c r="G54" s="55">
        <f>G53/6</f>
        <v>97.47676851851854</v>
      </c>
    </row>
    <row r="55" spans="1:8" ht="15.6" x14ac:dyDescent="0.3">
      <c r="A55" s="50"/>
      <c r="B55" s="50"/>
      <c r="C55" s="50"/>
      <c r="D55" s="50"/>
      <c r="E55" s="50"/>
      <c r="F55" s="50"/>
      <c r="G55" s="50"/>
    </row>
    <row r="56" spans="1:8" ht="15.6" x14ac:dyDescent="0.3">
      <c r="A56" s="50"/>
      <c r="B56" s="50"/>
      <c r="C56" s="50"/>
      <c r="D56" s="50"/>
      <c r="E56" s="50"/>
      <c r="F56" s="50"/>
      <c r="G56" s="50"/>
    </row>
    <row r="57" spans="1:8" ht="15.6" x14ac:dyDescent="0.3">
      <c r="A57" s="50"/>
      <c r="B57" t="s">
        <v>319</v>
      </c>
      <c r="C57" s="50"/>
      <c r="D57" s="50"/>
      <c r="E57" s="50"/>
      <c r="F57" s="50"/>
      <c r="G57" s="50"/>
    </row>
    <row r="58" spans="1:8" ht="15.6" x14ac:dyDescent="0.3">
      <c r="A58" s="50"/>
      <c r="B58" s="50"/>
      <c r="C58" s="50"/>
      <c r="D58" s="50"/>
      <c r="E58" s="50"/>
      <c r="F58" s="50"/>
      <c r="G58" s="50"/>
    </row>
    <row r="59" spans="1:8" ht="15.6" x14ac:dyDescent="0.3">
      <c r="A59" s="50"/>
      <c r="B59" s="48" t="s">
        <v>120</v>
      </c>
      <c r="C59" s="51"/>
      <c r="D59" s="50"/>
      <c r="E59" s="50"/>
      <c r="F59" s="50"/>
    </row>
    <row r="60" spans="1:8" ht="15.6" x14ac:dyDescent="0.3">
      <c r="A60" s="50"/>
      <c r="B60" s="51" t="s">
        <v>121</v>
      </c>
      <c r="C60" s="51"/>
      <c r="D60" s="50"/>
      <c r="E60" s="50"/>
      <c r="F60" s="50"/>
    </row>
    <row r="61" spans="1:8" ht="15.6" x14ac:dyDescent="0.3">
      <c r="A61" s="50"/>
      <c r="B61" s="15" t="s">
        <v>122</v>
      </c>
      <c r="C61" s="15"/>
      <c r="D61" s="50"/>
      <c r="E61" s="50"/>
      <c r="F61" s="50"/>
    </row>
    <row r="62" spans="1:8" ht="15.6" x14ac:dyDescent="0.3">
      <c r="A62" s="50"/>
      <c r="B62" s="51" t="s">
        <v>123</v>
      </c>
      <c r="C62" s="51"/>
      <c r="D62" s="50"/>
      <c r="E62" s="50"/>
      <c r="F62" s="50"/>
    </row>
    <row r="63" spans="1:8" ht="15.6" x14ac:dyDescent="0.3">
      <c r="A63" s="50"/>
      <c r="B63" s="1" t="s">
        <v>124</v>
      </c>
      <c r="C63" s="1"/>
      <c r="D63" s="1"/>
      <c r="E63" s="50"/>
      <c r="F63" s="50"/>
    </row>
    <row r="65" spans="2:2" x14ac:dyDescent="0.3">
      <c r="B65" s="48" t="s">
        <v>120</v>
      </c>
    </row>
    <row r="66" spans="2:2" ht="15.6" x14ac:dyDescent="0.3">
      <c r="B66" s="51" t="s">
        <v>121</v>
      </c>
    </row>
    <row r="67" spans="2:2" ht="15.6" x14ac:dyDescent="0.3">
      <c r="B67" s="15" t="s">
        <v>122</v>
      </c>
    </row>
    <row r="68" spans="2:2" ht="15.6" x14ac:dyDescent="0.3">
      <c r="B68" s="51" t="s">
        <v>142</v>
      </c>
    </row>
    <row r="69" spans="2:2" ht="15.6" x14ac:dyDescent="0.3">
      <c r="B69" s="1" t="s">
        <v>143</v>
      </c>
    </row>
  </sheetData>
  <mergeCells count="10">
    <mergeCell ref="H3:H4"/>
    <mergeCell ref="A1:H2"/>
    <mergeCell ref="A53:F53"/>
    <mergeCell ref="A54:F54"/>
    <mergeCell ref="A3:A4"/>
    <mergeCell ref="B3:B4"/>
    <mergeCell ref="C3:C4"/>
    <mergeCell ref="D3:D4"/>
    <mergeCell ref="E3:E4"/>
    <mergeCell ref="F3:G3"/>
  </mergeCells>
  <pageMargins left="0.511811024" right="0.511811024" top="0.78740157499999996" bottom="0.78740157499999996" header="0.31496062000000002" footer="0.31496062000000002"/>
  <pageSetup paperSize="9" scale="7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37AC0-F4D5-4BB3-9511-CD981487CAEE}">
  <dimension ref="A1:E182"/>
  <sheetViews>
    <sheetView showGridLines="0" zoomScale="115" zoomScaleNormal="115" workbookViewId="0">
      <selection activeCell="C70" sqref="C70"/>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168</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ht="27.6" customHeight="1" x14ac:dyDescent="0.3">
      <c r="A15" s="22" t="s">
        <v>88</v>
      </c>
      <c r="B15" s="22" t="s">
        <v>89</v>
      </c>
      <c r="C15" s="92" t="s">
        <v>90</v>
      </c>
      <c r="D15" s="92"/>
      <c r="E15" s="92"/>
    </row>
    <row r="16" spans="1:5" x14ac:dyDescent="0.3">
      <c r="A16" s="26" t="s">
        <v>153</v>
      </c>
      <c r="B16" s="22" t="s">
        <v>91</v>
      </c>
      <c r="C16" s="90" t="s">
        <v>167</v>
      </c>
      <c r="D16" s="90"/>
      <c r="E16" s="27">
        <v>9</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1255.57</v>
      </c>
      <c r="D21" s="94"/>
      <c r="E21" s="94"/>
    </row>
    <row r="22" spans="1:5" ht="28.5" customHeight="1" x14ac:dyDescent="0.3">
      <c r="A22" s="22">
        <v>3</v>
      </c>
      <c r="B22" s="29" t="s">
        <v>97</v>
      </c>
      <c r="C22" s="95" t="s">
        <v>169</v>
      </c>
      <c r="D22" s="95"/>
      <c r="E22" s="95"/>
    </row>
    <row r="23" spans="1:5" x14ac:dyDescent="0.3">
      <c r="A23" s="22">
        <v>4</v>
      </c>
      <c r="B23" s="29" t="s">
        <v>99</v>
      </c>
      <c r="C23" s="96">
        <v>43221</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1255.57</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1255.57</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104.63083333333333</v>
      </c>
    </row>
    <row r="45" spans="1:3" ht="16.2" thickBot="1" x14ac:dyDescent="0.35">
      <c r="A45" s="9" t="s">
        <v>19</v>
      </c>
      <c r="B45" s="10" t="s">
        <v>34</v>
      </c>
      <c r="C45" s="30">
        <f>C36*(1/12)+C36*(1/3)*(1/12)</f>
        <v>139.50777777777776</v>
      </c>
    </row>
    <row r="46" spans="1:3" ht="16.2" thickBot="1" x14ac:dyDescent="0.35">
      <c r="A46" s="82" t="s">
        <v>2</v>
      </c>
      <c r="B46" s="83"/>
      <c r="C46" s="30">
        <f>SUM(C44:C45)</f>
        <v>244.13861111111109</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299.94172222222221</v>
      </c>
    </row>
    <row r="53" spans="1:4" ht="16.2" thickBot="1" x14ac:dyDescent="0.35">
      <c r="A53" s="9" t="s">
        <v>19</v>
      </c>
      <c r="B53" s="10" t="s">
        <v>40</v>
      </c>
      <c r="C53" s="12">
        <v>2.5000000000000001E-2</v>
      </c>
      <c r="D53" s="30">
        <f t="shared" ref="D53:D60" si="0">($C$36+$C$46)*C53</f>
        <v>37.492715277777776</v>
      </c>
    </row>
    <row r="54" spans="1:4" ht="16.2" thickBot="1" x14ac:dyDescent="0.35">
      <c r="A54" s="9" t="s">
        <v>21</v>
      </c>
      <c r="B54" s="10" t="s">
        <v>41</v>
      </c>
      <c r="C54" s="12">
        <v>0.03</v>
      </c>
      <c r="D54" s="30">
        <f t="shared" si="0"/>
        <v>44.991258333333327</v>
      </c>
    </row>
    <row r="55" spans="1:4" ht="16.2" thickBot="1" x14ac:dyDescent="0.35">
      <c r="A55" s="9" t="s">
        <v>23</v>
      </c>
      <c r="B55" s="10" t="s">
        <v>42</v>
      </c>
      <c r="C55" s="12">
        <v>1.4999999999999999E-2</v>
      </c>
      <c r="D55" s="30">
        <f t="shared" si="0"/>
        <v>22.495629166666664</v>
      </c>
    </row>
    <row r="56" spans="1:4" ht="16.2" thickBot="1" x14ac:dyDescent="0.35">
      <c r="A56" s="9" t="s">
        <v>24</v>
      </c>
      <c r="B56" s="10" t="s">
        <v>43</v>
      </c>
      <c r="C56" s="12">
        <v>0.01</v>
      </c>
      <c r="D56" s="30">
        <f t="shared" si="0"/>
        <v>14.997086111111109</v>
      </c>
    </row>
    <row r="57" spans="1:4" ht="16.2" thickBot="1" x14ac:dyDescent="0.35">
      <c r="A57" s="9" t="s">
        <v>26</v>
      </c>
      <c r="B57" s="10" t="s">
        <v>3</v>
      </c>
      <c r="C57" s="12">
        <v>6.0000000000000001E-3</v>
      </c>
      <c r="D57" s="30">
        <f t="shared" si="0"/>
        <v>8.9982516666666665</v>
      </c>
    </row>
    <row r="58" spans="1:4" ht="16.2" thickBot="1" x14ac:dyDescent="0.35">
      <c r="A58" s="9" t="s">
        <v>27</v>
      </c>
      <c r="B58" s="10" t="s">
        <v>4</v>
      </c>
      <c r="C58" s="12">
        <v>2E-3</v>
      </c>
      <c r="D58" s="30">
        <f t="shared" si="0"/>
        <v>2.9994172222222217</v>
      </c>
    </row>
    <row r="59" spans="1:4" ht="16.2" thickBot="1" x14ac:dyDescent="0.35">
      <c r="A59" s="9" t="s">
        <v>44</v>
      </c>
      <c r="B59" s="10" t="s">
        <v>5</v>
      </c>
      <c r="C59" s="12">
        <v>0.08</v>
      </c>
      <c r="D59" s="30">
        <f t="shared" si="0"/>
        <v>119.97668888888887</v>
      </c>
    </row>
    <row r="60" spans="1:4" ht="16.2" thickBot="1" x14ac:dyDescent="0.35">
      <c r="A60" s="82" t="s">
        <v>45</v>
      </c>
      <c r="B60" s="83"/>
      <c r="C60" s="12">
        <f>SUM(C52:C59)</f>
        <v>0.36800000000000005</v>
      </c>
      <c r="D60" s="30">
        <f t="shared" si="0"/>
        <v>551.8927688888889</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91.865799999999993</v>
      </c>
    </row>
    <row r="67" spans="1:3" ht="16.2" thickBot="1" x14ac:dyDescent="0.35">
      <c r="A67" s="9" t="s">
        <v>19</v>
      </c>
      <c r="B67" s="10" t="s">
        <v>50</v>
      </c>
      <c r="C67" s="30">
        <f>(15*22)-((15*22)*10%)</f>
        <v>297</v>
      </c>
    </row>
    <row r="68" spans="1:3" ht="16.2" thickBot="1" x14ac:dyDescent="0.35">
      <c r="A68" s="9" t="s">
        <v>21</v>
      </c>
      <c r="B68" s="10" t="s">
        <v>100</v>
      </c>
      <c r="C68" s="40">
        <v>73</v>
      </c>
    </row>
    <row r="69" spans="1:3" ht="16.2" thickBot="1" x14ac:dyDescent="0.35">
      <c r="A69" s="9" t="s">
        <v>23</v>
      </c>
      <c r="B69" s="10" t="s">
        <v>101</v>
      </c>
      <c r="C69" s="40">
        <v>7</v>
      </c>
    </row>
    <row r="70" spans="1:3" ht="16.2" thickBot="1" x14ac:dyDescent="0.35">
      <c r="A70" s="9" t="s">
        <v>24</v>
      </c>
      <c r="B70" s="10" t="s">
        <v>170</v>
      </c>
      <c r="C70" s="62">
        <v>80</v>
      </c>
    </row>
    <row r="71" spans="1:3" ht="16.2" thickBot="1" x14ac:dyDescent="0.35">
      <c r="A71" s="82" t="s">
        <v>2</v>
      </c>
      <c r="B71" s="83"/>
      <c r="C71" s="30">
        <f>SUM(C66:C70)</f>
        <v>548.86580000000004</v>
      </c>
    </row>
    <row r="74" spans="1:3" x14ac:dyDescent="0.3">
      <c r="A74" s="84" t="s">
        <v>51</v>
      </c>
      <c r="B74" s="84"/>
      <c r="C74" s="84"/>
    </row>
    <row r="75" spans="1:3" ht="16.2" thickBot="1" x14ac:dyDescent="0.35"/>
    <row r="76" spans="1:3" ht="16.2" thickBot="1" x14ac:dyDescent="0.35">
      <c r="A76" s="7">
        <v>2</v>
      </c>
      <c r="B76" s="8" t="s">
        <v>52</v>
      </c>
      <c r="C76" s="8" t="s">
        <v>16</v>
      </c>
    </row>
    <row r="77" spans="1:3" ht="16.2" thickBot="1" x14ac:dyDescent="0.35">
      <c r="A77" s="9" t="s">
        <v>31</v>
      </c>
      <c r="B77" s="10" t="s">
        <v>32</v>
      </c>
      <c r="C77" s="30">
        <f>C46</f>
        <v>244.13861111111109</v>
      </c>
    </row>
    <row r="78" spans="1:3" ht="16.2" thickBot="1" x14ac:dyDescent="0.35">
      <c r="A78" s="9" t="s">
        <v>36</v>
      </c>
      <c r="B78" s="10" t="s">
        <v>37</v>
      </c>
      <c r="C78" s="30">
        <f>D60</f>
        <v>551.8927688888889</v>
      </c>
    </row>
    <row r="79" spans="1:3" ht="16.2" thickBot="1" x14ac:dyDescent="0.35">
      <c r="A79" s="9" t="s">
        <v>47</v>
      </c>
      <c r="B79" s="10" t="s">
        <v>48</v>
      </c>
      <c r="C79" s="30">
        <f>C71</f>
        <v>548.86580000000004</v>
      </c>
    </row>
    <row r="80" spans="1:3" ht="16.2" thickBot="1" x14ac:dyDescent="0.35">
      <c r="A80" s="82" t="s">
        <v>2</v>
      </c>
      <c r="B80" s="83"/>
      <c r="C80" s="30">
        <f>SUM(C77:C79)</f>
        <v>1344.8971799999999</v>
      </c>
    </row>
    <row r="81" spans="1:4" x14ac:dyDescent="0.3">
      <c r="A81" s="1"/>
    </row>
    <row r="83" spans="1:4" x14ac:dyDescent="0.3">
      <c r="A83" s="81" t="s">
        <v>53</v>
      </c>
      <c r="B83" s="81"/>
      <c r="C83" s="81"/>
    </row>
    <row r="84" spans="1:4" ht="16.2" thickBot="1" x14ac:dyDescent="0.35">
      <c r="C84" s="31"/>
    </row>
    <row r="85" spans="1:4" ht="16.2" thickBot="1" x14ac:dyDescent="0.35">
      <c r="A85" s="7">
        <v>3</v>
      </c>
      <c r="B85" s="8" t="s">
        <v>54</v>
      </c>
      <c r="C85" s="8" t="s">
        <v>16</v>
      </c>
    </row>
    <row r="86" spans="1:4" ht="16.2" thickBot="1" x14ac:dyDescent="0.35">
      <c r="A86" s="9" t="s">
        <v>17</v>
      </c>
      <c r="B86" s="13" t="s">
        <v>55</v>
      </c>
      <c r="C86" s="30">
        <f>($C$36+$C$46+$D$59+$C$71)*(41.93%*(1/12))</f>
        <v>75.772789685833317</v>
      </c>
    </row>
    <row r="87" spans="1:4" ht="16.2" thickBot="1" x14ac:dyDescent="0.35">
      <c r="A87" s="9" t="s">
        <v>19</v>
      </c>
      <c r="B87" s="13" t="s">
        <v>56</v>
      </c>
      <c r="C87" s="30">
        <f>C86*8%</f>
        <v>6.0618231748666656</v>
      </c>
      <c r="D87" s="31"/>
    </row>
    <row r="88" spans="1:4" ht="16.2" thickBot="1" x14ac:dyDescent="0.35">
      <c r="A88" s="9" t="s">
        <v>21</v>
      </c>
      <c r="B88" s="13" t="s">
        <v>57</v>
      </c>
      <c r="C88" s="30">
        <f>($C$36+$C$46+$D$59+$C$71)*(50%*(40%+10%)*8%)</f>
        <v>43.371021999999996</v>
      </c>
      <c r="D88" s="31"/>
    </row>
    <row r="89" spans="1:4" ht="16.2" thickBot="1" x14ac:dyDescent="0.35">
      <c r="A89" s="9" t="s">
        <v>23</v>
      </c>
      <c r="B89" s="13" t="s">
        <v>58</v>
      </c>
      <c r="C89" s="30">
        <f>($C$36+$C$80)*(41.93%*(1/12))</f>
        <v>90.864657381166637</v>
      </c>
    </row>
    <row r="90" spans="1:4" ht="31.8" thickBot="1" x14ac:dyDescent="0.35">
      <c r="A90" s="9" t="s">
        <v>24</v>
      </c>
      <c r="B90" s="13" t="s">
        <v>102</v>
      </c>
      <c r="C90" s="30">
        <f>$C$60*$C$89</f>
        <v>33.438193916269327</v>
      </c>
    </row>
    <row r="91" spans="1:4" ht="16.2" thickBot="1" x14ac:dyDescent="0.35">
      <c r="A91" s="9" t="s">
        <v>26</v>
      </c>
      <c r="B91" s="13" t="s">
        <v>59</v>
      </c>
      <c r="C91" s="30">
        <f>($C$36+$C$80)*(50%*(40%+10%)*8%)</f>
        <v>52.009343599999994</v>
      </c>
      <c r="D91" s="31"/>
    </row>
    <row r="92" spans="1:4" ht="16.2" thickBot="1" x14ac:dyDescent="0.35">
      <c r="A92" s="82" t="s">
        <v>2</v>
      </c>
      <c r="B92" s="83"/>
      <c r="C92" s="30">
        <f>SUM(C86:C91)</f>
        <v>301.51782975813592</v>
      </c>
    </row>
    <row r="95" spans="1:4" x14ac:dyDescent="0.3">
      <c r="A95" s="81" t="s">
        <v>60</v>
      </c>
      <c r="B95" s="81"/>
      <c r="C95" s="81"/>
    </row>
    <row r="98" spans="1:3" x14ac:dyDescent="0.3">
      <c r="A98" s="84" t="s">
        <v>110</v>
      </c>
      <c r="B98" s="84"/>
      <c r="C98" s="84"/>
    </row>
    <row r="99" spans="1:3" ht="16.2" thickBot="1" x14ac:dyDescent="0.35">
      <c r="A99" s="2"/>
    </row>
    <row r="100" spans="1:3" ht="16.2" thickBot="1" x14ac:dyDescent="0.35">
      <c r="A100" s="7" t="s">
        <v>61</v>
      </c>
      <c r="B100" s="8" t="s">
        <v>109</v>
      </c>
      <c r="C100" s="8" t="s">
        <v>16</v>
      </c>
    </row>
    <row r="101" spans="1:3" ht="16.2" thickBot="1" x14ac:dyDescent="0.35">
      <c r="A101" s="9" t="s">
        <v>17</v>
      </c>
      <c r="B101" s="10" t="s">
        <v>103</v>
      </c>
      <c r="C101" s="30">
        <f>(((C36+C80+C92)/30)*20.7123)/12</f>
        <v>166.96328921559285</v>
      </c>
    </row>
    <row r="102" spans="1:3" ht="16.2" thickBot="1" x14ac:dyDescent="0.35">
      <c r="A102" s="9" t="s">
        <v>19</v>
      </c>
      <c r="B102" s="10" t="s">
        <v>104</v>
      </c>
      <c r="C102" s="30">
        <f>(((C36+C80+C92)/30)*(1+3.4521+0.3044+0.0427+0.037+0.02+0.004+0.001))/12</f>
        <v>39.186470915100685</v>
      </c>
    </row>
    <row r="103" spans="1:3" ht="16.2" thickBot="1" x14ac:dyDescent="0.35">
      <c r="A103" s="9" t="s">
        <v>21</v>
      </c>
      <c r="B103" s="10" t="s">
        <v>105</v>
      </c>
      <c r="C103" s="30">
        <f>(((C36+C80+C92)/30)*0.1892)/12</f>
        <v>1.5251543440173314</v>
      </c>
    </row>
    <row r="104" spans="1:3" ht="16.2" thickBot="1" x14ac:dyDescent="0.35">
      <c r="A104" s="9" t="s">
        <v>23</v>
      </c>
      <c r="B104" s="10" t="s">
        <v>106</v>
      </c>
      <c r="C104" s="30">
        <f>(((C36+C80+C92)/30)*0.9548)/12</f>
        <v>7.6967091314362994</v>
      </c>
    </row>
    <row r="105" spans="1:3" ht="16.2" thickBot="1" x14ac:dyDescent="0.35">
      <c r="A105" s="9" t="s">
        <v>24</v>
      </c>
      <c r="B105" s="10" t="s">
        <v>107</v>
      </c>
      <c r="C105" s="30">
        <f>(((C36+C80+C92)/30)*2.4723)/12</f>
        <v>19.929382054513997</v>
      </c>
    </row>
    <row r="106" spans="1:3" ht="16.2" thickBot="1" x14ac:dyDescent="0.35">
      <c r="A106" s="9" t="s">
        <v>26</v>
      </c>
      <c r="B106" s="10" t="s">
        <v>108</v>
      </c>
      <c r="C106" s="30"/>
    </row>
    <row r="107" spans="1:3" ht="16.2" thickBot="1" x14ac:dyDescent="0.35">
      <c r="A107" s="82" t="s">
        <v>45</v>
      </c>
      <c r="B107" s="83"/>
      <c r="C107" s="30">
        <f>SUM(C101:C106)</f>
        <v>235.30100566066119</v>
      </c>
    </row>
    <row r="110" spans="1:3" x14ac:dyDescent="0.3">
      <c r="A110" s="84" t="s">
        <v>112</v>
      </c>
      <c r="B110" s="84"/>
      <c r="C110" s="84"/>
    </row>
    <row r="111" spans="1:3" ht="16.2" thickBot="1" x14ac:dyDescent="0.35">
      <c r="A111" s="2"/>
    </row>
    <row r="112" spans="1:3" ht="16.2" thickBot="1" x14ac:dyDescent="0.35">
      <c r="A112" s="7" t="s">
        <v>62</v>
      </c>
      <c r="B112" s="8" t="s">
        <v>113</v>
      </c>
      <c r="C112" s="8" t="s">
        <v>16</v>
      </c>
    </row>
    <row r="113" spans="1:5" ht="16.2" thickBot="1" x14ac:dyDescent="0.35">
      <c r="A113" s="9" t="s">
        <v>17</v>
      </c>
      <c r="B113" s="10" t="s">
        <v>111</v>
      </c>
      <c r="C113" s="11"/>
    </row>
    <row r="114" spans="1:5" ht="16.2" thickBot="1" x14ac:dyDescent="0.35">
      <c r="A114" s="82" t="s">
        <v>2</v>
      </c>
      <c r="B114" s="83"/>
      <c r="C114" s="30">
        <v>0</v>
      </c>
    </row>
    <row r="117" spans="1:5" x14ac:dyDescent="0.3">
      <c r="A117" s="84" t="s">
        <v>63</v>
      </c>
      <c r="B117" s="84"/>
      <c r="C117" s="84"/>
    </row>
    <row r="118" spans="1:5" ht="16.2" thickBot="1" x14ac:dyDescent="0.35">
      <c r="A118" s="2"/>
    </row>
    <row r="119" spans="1:5" ht="16.2" thickBot="1" x14ac:dyDescent="0.35">
      <c r="A119" s="7">
        <v>4</v>
      </c>
      <c r="B119" s="8" t="s">
        <v>64</v>
      </c>
      <c r="C119" s="8" t="s">
        <v>16</v>
      </c>
    </row>
    <row r="120" spans="1:5" ht="16.2" thickBot="1" x14ac:dyDescent="0.35">
      <c r="A120" s="9" t="s">
        <v>61</v>
      </c>
      <c r="B120" s="10" t="s">
        <v>109</v>
      </c>
      <c r="C120" s="30">
        <f>C107</f>
        <v>235.30100566066119</v>
      </c>
    </row>
    <row r="121" spans="1:5" ht="16.2" thickBot="1" x14ac:dyDescent="0.35">
      <c r="A121" s="9" t="s">
        <v>62</v>
      </c>
      <c r="B121" s="10" t="s">
        <v>113</v>
      </c>
      <c r="C121" s="30">
        <f>C114</f>
        <v>0</v>
      </c>
    </row>
    <row r="122" spans="1:5" ht="16.2" thickBot="1" x14ac:dyDescent="0.35">
      <c r="A122" s="82" t="s">
        <v>2</v>
      </c>
      <c r="B122" s="83"/>
      <c r="C122" s="30">
        <f>SUM(C120:C121)</f>
        <v>235.30100566066119</v>
      </c>
    </row>
    <row r="125" spans="1:5" x14ac:dyDescent="0.3">
      <c r="A125" s="81" t="s">
        <v>65</v>
      </c>
      <c r="B125" s="81"/>
      <c r="C125" s="81"/>
    </row>
    <row r="126" spans="1:5" x14ac:dyDescent="0.3">
      <c r="A126" s="59"/>
      <c r="B126" s="59"/>
      <c r="C126" s="59"/>
    </row>
    <row r="127" spans="1:5" ht="16.2" thickBot="1" x14ac:dyDescent="0.35">
      <c r="A127" s="85" t="s">
        <v>152</v>
      </c>
      <c r="B127" s="85"/>
      <c r="C127" s="85"/>
      <c r="D127" s="85"/>
      <c r="E127" s="86"/>
    </row>
    <row r="128" spans="1:5" ht="16.2" thickBot="1" x14ac:dyDescent="0.35">
      <c r="A128" s="4" t="s">
        <v>146</v>
      </c>
      <c r="B128" s="4" t="s">
        <v>11</v>
      </c>
      <c r="C128" s="32" t="s">
        <v>12</v>
      </c>
      <c r="D128" s="32" t="s">
        <v>13</v>
      </c>
      <c r="E128" s="33" t="s">
        <v>0</v>
      </c>
    </row>
    <row r="129" spans="1:5" ht="16.2" thickBot="1" x14ac:dyDescent="0.35">
      <c r="A129" s="60">
        <v>1</v>
      </c>
      <c r="B129" s="36" t="s">
        <v>171</v>
      </c>
      <c r="C129" s="64">
        <v>4</v>
      </c>
      <c r="D129" s="65">
        <v>25.49</v>
      </c>
      <c r="E129" s="6">
        <f>C129*D129</f>
        <v>101.96</v>
      </c>
    </row>
    <row r="130" spans="1:5" ht="16.2" thickBot="1" x14ac:dyDescent="0.35">
      <c r="A130" s="61">
        <v>2</v>
      </c>
      <c r="B130" s="36" t="s">
        <v>172</v>
      </c>
      <c r="C130" s="66">
        <v>2</v>
      </c>
      <c r="D130" s="67">
        <v>36.17</v>
      </c>
      <c r="E130" s="6">
        <f t="shared" ref="E130:E133" si="1">C130*D130</f>
        <v>72.34</v>
      </c>
    </row>
    <row r="131" spans="1:5" ht="16.2" thickBot="1" x14ac:dyDescent="0.35">
      <c r="A131" s="61">
        <v>3</v>
      </c>
      <c r="B131" s="36" t="s">
        <v>149</v>
      </c>
      <c r="C131" s="66">
        <v>4</v>
      </c>
      <c r="D131" s="67">
        <v>15</v>
      </c>
      <c r="E131" s="6">
        <f t="shared" si="1"/>
        <v>60</v>
      </c>
    </row>
    <row r="132" spans="1:5" ht="16.2" thickBot="1" x14ac:dyDescent="0.35">
      <c r="A132" s="61">
        <v>4</v>
      </c>
      <c r="B132" s="36" t="s">
        <v>173</v>
      </c>
      <c r="C132" s="66">
        <v>1</v>
      </c>
      <c r="D132" s="67">
        <v>66.790000000000006</v>
      </c>
      <c r="E132" s="6">
        <f t="shared" si="1"/>
        <v>66.790000000000006</v>
      </c>
    </row>
    <row r="133" spans="1:5" ht="16.2" thickBot="1" x14ac:dyDescent="0.35">
      <c r="A133" s="61">
        <v>5</v>
      </c>
      <c r="B133" s="36" t="s">
        <v>151</v>
      </c>
      <c r="C133" s="66">
        <v>1</v>
      </c>
      <c r="D133" s="67">
        <v>20.309999999999999</v>
      </c>
      <c r="E133" s="6">
        <f t="shared" si="1"/>
        <v>20.309999999999999</v>
      </c>
    </row>
    <row r="134" spans="1:5" ht="16.2" thickBot="1" x14ac:dyDescent="0.35">
      <c r="A134" s="87" t="s">
        <v>114</v>
      </c>
      <c r="B134" s="88"/>
      <c r="C134" s="5"/>
      <c r="D134" s="5"/>
      <c r="E134" s="37">
        <f>SUM(E129:E133)</f>
        <v>321.40000000000003</v>
      </c>
    </row>
    <row r="135" spans="1:5" ht="16.2" thickBot="1" x14ac:dyDescent="0.35">
      <c r="A135" s="87" t="s">
        <v>115</v>
      </c>
      <c r="B135" s="88"/>
      <c r="C135" s="5"/>
      <c r="D135" s="5"/>
      <c r="E135" s="37">
        <f>E134/12</f>
        <v>26.783333333333335</v>
      </c>
    </row>
    <row r="136" spans="1:5" ht="16.2" thickBot="1" x14ac:dyDescent="0.35">
      <c r="A136" s="59"/>
      <c r="B136" s="59"/>
      <c r="C136" s="59"/>
    </row>
    <row r="137" spans="1:5" ht="16.2" thickBot="1" x14ac:dyDescent="0.35">
      <c r="A137" s="7">
        <v>5</v>
      </c>
      <c r="B137" s="14" t="s">
        <v>6</v>
      </c>
      <c r="C137" s="8" t="s">
        <v>16</v>
      </c>
    </row>
    <row r="138" spans="1:5" ht="16.2" thickBot="1" x14ac:dyDescent="0.35">
      <c r="A138" s="9" t="s">
        <v>17</v>
      </c>
      <c r="B138" s="10" t="s">
        <v>66</v>
      </c>
      <c r="C138" s="30">
        <f>E135</f>
        <v>26.783333333333335</v>
      </c>
    </row>
    <row r="139" spans="1:5" ht="16.2" thickBot="1" x14ac:dyDescent="0.35">
      <c r="A139" s="9" t="s">
        <v>19</v>
      </c>
      <c r="B139" s="10" t="s">
        <v>67</v>
      </c>
      <c r="C139" s="30">
        <f>'Materiais Uso Coletivo'!G7</f>
        <v>0.48458333333333337</v>
      </c>
    </row>
    <row r="140" spans="1:5" ht="16.2" thickBot="1" x14ac:dyDescent="0.35">
      <c r="A140" s="9" t="s">
        <v>21</v>
      </c>
      <c r="B140" s="10" t="s">
        <v>68</v>
      </c>
      <c r="C140" s="30">
        <v>0</v>
      </c>
    </row>
    <row r="141" spans="1:5" ht="16.2" thickBot="1" x14ac:dyDescent="0.35">
      <c r="A141" s="9" t="s">
        <v>23</v>
      </c>
      <c r="B141" s="10" t="s">
        <v>28</v>
      </c>
      <c r="C141" s="30"/>
    </row>
    <row r="142" spans="1:5" ht="16.2" thickBot="1" x14ac:dyDescent="0.35">
      <c r="A142" s="82" t="s">
        <v>45</v>
      </c>
      <c r="B142" s="83"/>
      <c r="C142" s="30">
        <f>SUM(C138:C141)</f>
        <v>27.267916666666668</v>
      </c>
    </row>
    <row r="145" spans="1:5" x14ac:dyDescent="0.3">
      <c r="A145" s="81" t="s">
        <v>69</v>
      </c>
      <c r="B145" s="81"/>
      <c r="C145" s="81"/>
    </row>
    <row r="146" spans="1:5" ht="16.2" thickBot="1" x14ac:dyDescent="0.35"/>
    <row r="147" spans="1:5" ht="16.2" thickBot="1" x14ac:dyDescent="0.35">
      <c r="A147" s="7">
        <v>6</v>
      </c>
      <c r="B147" s="14" t="s">
        <v>7</v>
      </c>
      <c r="C147" s="8" t="s">
        <v>38</v>
      </c>
      <c r="D147" s="8" t="s">
        <v>16</v>
      </c>
    </row>
    <row r="148" spans="1:5" ht="16.2" thickBot="1" x14ac:dyDescent="0.35">
      <c r="A148" s="9" t="s">
        <v>17</v>
      </c>
      <c r="B148" s="10" t="s">
        <v>8</v>
      </c>
      <c r="C148" s="42">
        <v>0.03</v>
      </c>
      <c r="D148" s="40">
        <f>C165*C148</f>
        <v>94.936617962563901</v>
      </c>
    </row>
    <row r="149" spans="1:5" ht="16.2" thickBot="1" x14ac:dyDescent="0.35">
      <c r="A149" s="9" t="s">
        <v>19</v>
      </c>
      <c r="B149" s="10" t="s">
        <v>10</v>
      </c>
      <c r="C149" s="42">
        <v>6.7900000000000002E-2</v>
      </c>
      <c r="D149" s="40">
        <f>(C165+D148)*C149</f>
        <v>221.31940834826108</v>
      </c>
    </row>
    <row r="150" spans="1:5" ht="16.2" thickBot="1" x14ac:dyDescent="0.35">
      <c r="A150" s="9" t="s">
        <v>21</v>
      </c>
      <c r="B150" s="10" t="s">
        <v>9</v>
      </c>
      <c r="C150" s="38">
        <v>0.14249999999999999</v>
      </c>
      <c r="D150" s="41"/>
      <c r="E150" s="31">
        <f>(C165+D148+D149)/(1-C150)</f>
        <v>4059.2535957974214</v>
      </c>
    </row>
    <row r="151" spans="1:5" ht="16.2" thickBot="1" x14ac:dyDescent="0.35">
      <c r="A151" s="9"/>
      <c r="B151" s="10" t="s">
        <v>117</v>
      </c>
      <c r="C151" s="42">
        <v>1.6500000000000001E-2</v>
      </c>
      <c r="D151" s="40">
        <f>$E$150*C151</f>
        <v>66.977684330657453</v>
      </c>
    </row>
    <row r="152" spans="1:5" ht="16.2" thickBot="1" x14ac:dyDescent="0.35">
      <c r="A152" s="9"/>
      <c r="B152" s="10" t="s">
        <v>118</v>
      </c>
      <c r="C152" s="42">
        <v>7.5999999999999998E-2</v>
      </c>
      <c r="D152" s="40">
        <f>$E$150*C152</f>
        <v>308.50327328060405</v>
      </c>
    </row>
    <row r="153" spans="1:5" ht="16.2" thickBot="1" x14ac:dyDescent="0.35">
      <c r="A153" s="9"/>
      <c r="B153" s="10" t="s">
        <v>116</v>
      </c>
      <c r="C153" s="42">
        <v>0.05</v>
      </c>
      <c r="D153" s="40">
        <f t="shared" ref="D153" si="2">$E$150*C153</f>
        <v>202.96267978987109</v>
      </c>
    </row>
    <row r="154" spans="1:5" ht="16.2" thickBot="1" x14ac:dyDescent="0.35">
      <c r="A154" s="82" t="s">
        <v>45</v>
      </c>
      <c r="B154" s="83"/>
      <c r="C154" s="12">
        <v>0.30449999999999999</v>
      </c>
      <c r="D154" s="40">
        <f>SUM(D148:D153)</f>
        <v>894.69966371195756</v>
      </c>
      <c r="E154" s="31"/>
    </row>
    <row r="155" spans="1:5" x14ac:dyDescent="0.3">
      <c r="D155" s="31"/>
    </row>
    <row r="157" spans="1:5" x14ac:dyDescent="0.3">
      <c r="A157" s="81" t="s">
        <v>70</v>
      </c>
      <c r="B157" s="81"/>
      <c r="C157" s="81"/>
    </row>
    <row r="158" spans="1:5" ht="16.2" thickBot="1" x14ac:dyDescent="0.35"/>
    <row r="159" spans="1:5" ht="16.2" thickBot="1" x14ac:dyDescent="0.35">
      <c r="A159" s="7"/>
      <c r="B159" s="8" t="s">
        <v>71</v>
      </c>
      <c r="C159" s="8" t="s">
        <v>16</v>
      </c>
    </row>
    <row r="160" spans="1:5" ht="16.2" thickBot="1" x14ac:dyDescent="0.35">
      <c r="A160" s="16" t="s">
        <v>17</v>
      </c>
      <c r="B160" s="10" t="s">
        <v>14</v>
      </c>
      <c r="C160" s="39">
        <f>C36</f>
        <v>1255.57</v>
      </c>
    </row>
    <row r="161" spans="1:5" ht="16.2" thickBot="1" x14ac:dyDescent="0.35">
      <c r="A161" s="16" t="s">
        <v>19</v>
      </c>
      <c r="B161" s="10" t="s">
        <v>29</v>
      </c>
      <c r="C161" s="39">
        <f>C80</f>
        <v>1344.8971799999999</v>
      </c>
    </row>
    <row r="162" spans="1:5" ht="16.2" thickBot="1" x14ac:dyDescent="0.35">
      <c r="A162" s="16" t="s">
        <v>21</v>
      </c>
      <c r="B162" s="10" t="s">
        <v>53</v>
      </c>
      <c r="C162" s="39">
        <f>C92</f>
        <v>301.51782975813592</v>
      </c>
    </row>
    <row r="163" spans="1:5" ht="16.2" thickBot="1" x14ac:dyDescent="0.35">
      <c r="A163" s="16" t="s">
        <v>23</v>
      </c>
      <c r="B163" s="10" t="s">
        <v>60</v>
      </c>
      <c r="C163" s="39">
        <f>C122</f>
        <v>235.30100566066119</v>
      </c>
    </row>
    <row r="164" spans="1:5" ht="16.2" thickBot="1" x14ac:dyDescent="0.35">
      <c r="A164" s="16" t="s">
        <v>24</v>
      </c>
      <c r="B164" s="10" t="s">
        <v>65</v>
      </c>
      <c r="C164" s="39">
        <f>C142</f>
        <v>27.267916666666668</v>
      </c>
    </row>
    <row r="165" spans="1:5" ht="16.2" thickBot="1" x14ac:dyDescent="0.35">
      <c r="A165" s="82" t="s">
        <v>72</v>
      </c>
      <c r="B165" s="83"/>
      <c r="C165" s="39">
        <f>SUM(C160:C164)</f>
        <v>3164.5539320854637</v>
      </c>
    </row>
    <row r="166" spans="1:5" ht="16.2" thickBot="1" x14ac:dyDescent="0.35">
      <c r="A166" s="16" t="s">
        <v>26</v>
      </c>
      <c r="B166" s="10" t="s">
        <v>73</v>
      </c>
      <c r="C166" s="39">
        <f>D154</f>
        <v>894.69966371195756</v>
      </c>
    </row>
    <row r="167" spans="1:5" ht="16.2" thickBot="1" x14ac:dyDescent="0.35">
      <c r="A167" s="82" t="s">
        <v>74</v>
      </c>
      <c r="B167" s="83"/>
      <c r="C167" s="39">
        <f>C165+C166</f>
        <v>4059.2535957974214</v>
      </c>
    </row>
    <row r="170" spans="1:5" x14ac:dyDescent="0.3">
      <c r="A170" t="s">
        <v>319</v>
      </c>
      <c r="B170"/>
      <c r="C170"/>
      <c r="D170"/>
      <c r="E170"/>
    </row>
    <row r="171" spans="1:5" x14ac:dyDescent="0.3">
      <c r="A171"/>
      <c r="B171"/>
      <c r="C171"/>
      <c r="D171"/>
      <c r="E171"/>
    </row>
    <row r="172" spans="1:5" x14ac:dyDescent="0.3">
      <c r="A172" s="48"/>
      <c r="B172" s="48" t="s">
        <v>120</v>
      </c>
      <c r="C172" s="49"/>
      <c r="D172" s="50"/>
    </row>
    <row r="173" spans="1:5" x14ac:dyDescent="0.3">
      <c r="A173" s="51"/>
      <c r="B173" s="51" t="s">
        <v>121</v>
      </c>
      <c r="C173" s="50"/>
      <c r="D173" s="50"/>
    </row>
    <row r="174" spans="1:5" x14ac:dyDescent="0.3">
      <c r="B174" s="15" t="s">
        <v>144</v>
      </c>
      <c r="C174" s="50"/>
      <c r="D174" s="50"/>
    </row>
    <row r="175" spans="1:5" x14ac:dyDescent="0.3">
      <c r="A175" s="3"/>
      <c r="B175" s="51" t="s">
        <v>123</v>
      </c>
      <c r="C175" s="50"/>
      <c r="D175" s="50"/>
    </row>
    <row r="176" spans="1:5" x14ac:dyDescent="0.3">
      <c r="A176" s="1"/>
      <c r="B176" s="1" t="s">
        <v>124</v>
      </c>
      <c r="C176" s="1"/>
      <c r="D176" s="50"/>
    </row>
    <row r="178" spans="2:2" x14ac:dyDescent="0.3">
      <c r="B178" s="48" t="s">
        <v>120</v>
      </c>
    </row>
    <row r="179" spans="2:2" x14ac:dyDescent="0.3">
      <c r="B179" s="51" t="s">
        <v>121</v>
      </c>
    </row>
    <row r="180" spans="2:2" x14ac:dyDescent="0.3">
      <c r="B180" s="15" t="s">
        <v>122</v>
      </c>
    </row>
    <row r="181" spans="2:2" x14ac:dyDescent="0.3">
      <c r="B181" s="51" t="s">
        <v>142</v>
      </c>
    </row>
    <row r="182" spans="2:2" x14ac:dyDescent="0.3">
      <c r="B182" s="1" t="s">
        <v>143</v>
      </c>
    </row>
  </sheetData>
  <mergeCells count="47">
    <mergeCell ref="A145:C145"/>
    <mergeCell ref="A154:B154"/>
    <mergeCell ref="A157:C157"/>
    <mergeCell ref="A165:B165"/>
    <mergeCell ref="A167:B167"/>
    <mergeCell ref="A142:B142"/>
    <mergeCell ref="A95:C95"/>
    <mergeCell ref="A98:C98"/>
    <mergeCell ref="A107:B107"/>
    <mergeCell ref="A110:C110"/>
    <mergeCell ref="A114:B114"/>
    <mergeCell ref="A117:C117"/>
    <mergeCell ref="A122:B122"/>
    <mergeCell ref="A125:C125"/>
    <mergeCell ref="A127:E127"/>
    <mergeCell ref="A134:B134"/>
    <mergeCell ref="A135:B135"/>
    <mergeCell ref="A92:B92"/>
    <mergeCell ref="A36:B36"/>
    <mergeCell ref="A39:C39"/>
    <mergeCell ref="A41:C41"/>
    <mergeCell ref="A46:B46"/>
    <mergeCell ref="A49:D49"/>
    <mergeCell ref="A60:B60"/>
    <mergeCell ref="A63:C63"/>
    <mergeCell ref="A71:B71"/>
    <mergeCell ref="A74:C74"/>
    <mergeCell ref="A80:B80"/>
    <mergeCell ref="A83:C83"/>
    <mergeCell ref="A27:C27"/>
    <mergeCell ref="C11:E11"/>
    <mergeCell ref="C12:E12"/>
    <mergeCell ref="A14:C14"/>
    <mergeCell ref="C15:E15"/>
    <mergeCell ref="C16:D16"/>
    <mergeCell ref="A18:E18"/>
    <mergeCell ref="A19:E19"/>
    <mergeCell ref="C20:E20"/>
    <mergeCell ref="C21:E21"/>
    <mergeCell ref="C22:E22"/>
    <mergeCell ref="C23:E23"/>
    <mergeCell ref="C10:E10"/>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id="rId1"/>
  <rowBreaks count="2" manualBreakCount="2">
    <brk id="61" max="4" man="1"/>
    <brk id="123" max="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64BA-A63D-4423-A713-70EA58367BFA}">
  <dimension ref="A1:E182"/>
  <sheetViews>
    <sheetView showGridLines="0" topLeftCell="A155" zoomScale="115" zoomScaleNormal="115" workbookViewId="0">
      <selection activeCell="C70" sqref="C70"/>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168</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174</v>
      </c>
      <c r="D16" s="90"/>
      <c r="E16" s="27">
        <v>6</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2021.45</v>
      </c>
      <c r="D21" s="94"/>
      <c r="E21" s="94"/>
    </row>
    <row r="22" spans="1:5" ht="28.5" customHeight="1" x14ac:dyDescent="0.3">
      <c r="A22" s="22">
        <v>3</v>
      </c>
      <c r="B22" s="29" t="s">
        <v>97</v>
      </c>
      <c r="C22" s="95" t="s">
        <v>175</v>
      </c>
      <c r="D22" s="95"/>
      <c r="E22" s="95"/>
    </row>
    <row r="23" spans="1:5" x14ac:dyDescent="0.3">
      <c r="A23" s="22">
        <v>4</v>
      </c>
      <c r="B23" s="29" t="s">
        <v>99</v>
      </c>
      <c r="C23" s="96">
        <v>43221</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2021.45</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2021.45</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168.45416666666665</v>
      </c>
    </row>
    <row r="45" spans="1:3" ht="16.2" thickBot="1" x14ac:dyDescent="0.35">
      <c r="A45" s="9" t="s">
        <v>19</v>
      </c>
      <c r="B45" s="10" t="s">
        <v>34</v>
      </c>
      <c r="C45" s="30">
        <f>C36*(1/12)+C36*(1/3)*(1/12)</f>
        <v>224.60555555555553</v>
      </c>
    </row>
    <row r="46" spans="1:3" ht="16.2" thickBot="1" x14ac:dyDescent="0.35">
      <c r="A46" s="82" t="s">
        <v>2</v>
      </c>
      <c r="B46" s="83"/>
      <c r="C46" s="30">
        <f>SUM(C44:C45)</f>
        <v>393.05972222222215</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482.90194444444444</v>
      </c>
    </row>
    <row r="53" spans="1:4" ht="16.2" thickBot="1" x14ac:dyDescent="0.35">
      <c r="A53" s="9" t="s">
        <v>19</v>
      </c>
      <c r="B53" s="10" t="s">
        <v>40</v>
      </c>
      <c r="C53" s="12">
        <v>2.5000000000000001E-2</v>
      </c>
      <c r="D53" s="30">
        <f t="shared" ref="D53:D60" si="0">($C$36+$C$46)*C53</f>
        <v>60.362743055555555</v>
      </c>
    </row>
    <row r="54" spans="1:4" ht="16.2" thickBot="1" x14ac:dyDescent="0.35">
      <c r="A54" s="9" t="s">
        <v>21</v>
      </c>
      <c r="B54" s="10" t="s">
        <v>41</v>
      </c>
      <c r="C54" s="12">
        <v>0.03</v>
      </c>
      <c r="D54" s="30">
        <f t="shared" si="0"/>
        <v>72.435291666666657</v>
      </c>
    </row>
    <row r="55" spans="1:4" ht="16.2" thickBot="1" x14ac:dyDescent="0.35">
      <c r="A55" s="9" t="s">
        <v>23</v>
      </c>
      <c r="B55" s="10" t="s">
        <v>42</v>
      </c>
      <c r="C55" s="12">
        <v>1.4999999999999999E-2</v>
      </c>
      <c r="D55" s="30">
        <f t="shared" si="0"/>
        <v>36.217645833333329</v>
      </c>
    </row>
    <row r="56" spans="1:4" ht="16.2" thickBot="1" x14ac:dyDescent="0.35">
      <c r="A56" s="9" t="s">
        <v>24</v>
      </c>
      <c r="B56" s="10" t="s">
        <v>43</v>
      </c>
      <c r="C56" s="12">
        <v>0.01</v>
      </c>
      <c r="D56" s="30">
        <f t="shared" si="0"/>
        <v>24.145097222222223</v>
      </c>
    </row>
    <row r="57" spans="1:4" ht="16.2" thickBot="1" x14ac:dyDescent="0.35">
      <c r="A57" s="9" t="s">
        <v>26</v>
      </c>
      <c r="B57" s="10" t="s">
        <v>3</v>
      </c>
      <c r="C57" s="12">
        <v>6.0000000000000001E-3</v>
      </c>
      <c r="D57" s="30">
        <f t="shared" si="0"/>
        <v>14.487058333333334</v>
      </c>
    </row>
    <row r="58" spans="1:4" ht="16.2" thickBot="1" x14ac:dyDescent="0.35">
      <c r="A58" s="9" t="s">
        <v>27</v>
      </c>
      <c r="B58" s="10" t="s">
        <v>4</v>
      </c>
      <c r="C58" s="12">
        <v>2E-3</v>
      </c>
      <c r="D58" s="30">
        <f t="shared" si="0"/>
        <v>4.8290194444444445</v>
      </c>
    </row>
    <row r="59" spans="1:4" ht="16.2" thickBot="1" x14ac:dyDescent="0.35">
      <c r="A59" s="9" t="s">
        <v>44</v>
      </c>
      <c r="B59" s="10" t="s">
        <v>5</v>
      </c>
      <c r="C59" s="12">
        <v>0.08</v>
      </c>
      <c r="D59" s="30">
        <f t="shared" si="0"/>
        <v>193.16077777777778</v>
      </c>
    </row>
    <row r="60" spans="1:4" ht="16.2" thickBot="1" x14ac:dyDescent="0.35">
      <c r="A60" s="82" t="s">
        <v>45</v>
      </c>
      <c r="B60" s="83"/>
      <c r="C60" s="12">
        <f>SUM(C52:C59)</f>
        <v>0.36800000000000005</v>
      </c>
      <c r="D60" s="30">
        <f t="shared" si="0"/>
        <v>888.53957777777782</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45.912999999999997</v>
      </c>
    </row>
    <row r="67" spans="1:3" ht="16.2" thickBot="1" x14ac:dyDescent="0.35">
      <c r="A67" s="9" t="s">
        <v>19</v>
      </c>
      <c r="B67" s="10" t="s">
        <v>50</v>
      </c>
      <c r="C67" s="30">
        <f>(15*22)-((15*22)*10%)</f>
        <v>297</v>
      </c>
    </row>
    <row r="68" spans="1:3" ht="16.2" thickBot="1" x14ac:dyDescent="0.35">
      <c r="A68" s="9" t="s">
        <v>21</v>
      </c>
      <c r="B68" s="10" t="s">
        <v>100</v>
      </c>
      <c r="C68" s="40">
        <v>73</v>
      </c>
    </row>
    <row r="69" spans="1:3" ht="16.2" thickBot="1" x14ac:dyDescent="0.35">
      <c r="A69" s="9" t="s">
        <v>23</v>
      </c>
      <c r="B69" s="10" t="s">
        <v>101</v>
      </c>
      <c r="C69" s="40">
        <v>7</v>
      </c>
    </row>
    <row r="70" spans="1:3" ht="16.2" thickBot="1" x14ac:dyDescent="0.35">
      <c r="A70" s="9" t="s">
        <v>24</v>
      </c>
      <c r="B70" s="10" t="s">
        <v>170</v>
      </c>
      <c r="C70" s="62">
        <v>80</v>
      </c>
    </row>
    <row r="71" spans="1:3" ht="16.2" thickBot="1" x14ac:dyDescent="0.35">
      <c r="A71" s="82" t="s">
        <v>2</v>
      </c>
      <c r="B71" s="83"/>
      <c r="C71" s="30">
        <f>SUM(C66:C70)</f>
        <v>502.91300000000001</v>
      </c>
    </row>
    <row r="74" spans="1:3" x14ac:dyDescent="0.3">
      <c r="A74" s="84" t="s">
        <v>51</v>
      </c>
      <c r="B74" s="84"/>
      <c r="C74" s="84"/>
    </row>
    <row r="75" spans="1:3" ht="16.2" thickBot="1" x14ac:dyDescent="0.35"/>
    <row r="76" spans="1:3" ht="16.2" thickBot="1" x14ac:dyDescent="0.35">
      <c r="A76" s="7">
        <v>2</v>
      </c>
      <c r="B76" s="8" t="s">
        <v>52</v>
      </c>
      <c r="C76" s="8" t="s">
        <v>16</v>
      </c>
    </row>
    <row r="77" spans="1:3" ht="16.2" thickBot="1" x14ac:dyDescent="0.35">
      <c r="A77" s="9" t="s">
        <v>31</v>
      </c>
      <c r="B77" s="10" t="s">
        <v>32</v>
      </c>
      <c r="C77" s="30">
        <f>C46</f>
        <v>393.05972222222215</v>
      </c>
    </row>
    <row r="78" spans="1:3" ht="16.2" thickBot="1" x14ac:dyDescent="0.35">
      <c r="A78" s="9" t="s">
        <v>36</v>
      </c>
      <c r="B78" s="10" t="s">
        <v>37</v>
      </c>
      <c r="C78" s="30">
        <f>D60</f>
        <v>888.53957777777782</v>
      </c>
    </row>
    <row r="79" spans="1:3" ht="16.2" thickBot="1" x14ac:dyDescent="0.35">
      <c r="A79" s="9" t="s">
        <v>47</v>
      </c>
      <c r="B79" s="10" t="s">
        <v>48</v>
      </c>
      <c r="C79" s="30">
        <f>C71</f>
        <v>502.91300000000001</v>
      </c>
    </row>
    <row r="80" spans="1:3" ht="16.2" thickBot="1" x14ac:dyDescent="0.35">
      <c r="A80" s="82" t="s">
        <v>2</v>
      </c>
      <c r="B80" s="83"/>
      <c r="C80" s="30">
        <f>SUM(C77:C79)</f>
        <v>1784.5122999999999</v>
      </c>
    </row>
    <row r="81" spans="1:4" x14ac:dyDescent="0.3">
      <c r="A81" s="1"/>
    </row>
    <row r="83" spans="1:4" x14ac:dyDescent="0.3">
      <c r="A83" s="81" t="s">
        <v>53</v>
      </c>
      <c r="B83" s="81"/>
      <c r="C83" s="81"/>
    </row>
    <row r="84" spans="1:4" ht="16.2" thickBot="1" x14ac:dyDescent="0.35">
      <c r="C84" s="31"/>
    </row>
    <row r="85" spans="1:4" ht="16.2" thickBot="1" x14ac:dyDescent="0.35">
      <c r="A85" s="7">
        <v>3</v>
      </c>
      <c r="B85" s="8" t="s">
        <v>54</v>
      </c>
      <c r="C85" s="8" t="s">
        <v>16</v>
      </c>
    </row>
    <row r="86" spans="1:4" ht="16.2" thickBot="1" x14ac:dyDescent="0.35">
      <c r="A86" s="9" t="s">
        <v>17</v>
      </c>
      <c r="B86" s="13" t="s">
        <v>55</v>
      </c>
      <c r="C86" s="30">
        <f>($C$36+$C$46+$D$59+$C$71)*(41.93%*(1/12))</f>
        <v>108.68897179583331</v>
      </c>
    </row>
    <row r="87" spans="1:4" ht="16.2" thickBot="1" x14ac:dyDescent="0.35">
      <c r="A87" s="9" t="s">
        <v>19</v>
      </c>
      <c r="B87" s="13" t="s">
        <v>56</v>
      </c>
      <c r="C87" s="30">
        <f>C86*8%</f>
        <v>8.6951177436666658</v>
      </c>
      <c r="D87" s="31"/>
    </row>
    <row r="88" spans="1:4" ht="16.2" thickBot="1" x14ac:dyDescent="0.35">
      <c r="A88" s="9" t="s">
        <v>21</v>
      </c>
      <c r="B88" s="13" t="s">
        <v>57</v>
      </c>
      <c r="C88" s="30">
        <f>($C$36+$C$46+$D$59+$C$71)*(50%*(40%+10%)*8%)</f>
        <v>62.211669999999998</v>
      </c>
      <c r="D88" s="31"/>
    </row>
    <row r="89" spans="1:4" ht="16.2" thickBot="1" x14ac:dyDescent="0.35">
      <c r="A89" s="9" t="s">
        <v>23</v>
      </c>
      <c r="B89" s="13" t="s">
        <v>58</v>
      </c>
      <c r="C89" s="30">
        <f>($C$36+$C$80)*(41.93%*(1/12))</f>
        <v>132.98666603249998</v>
      </c>
    </row>
    <row r="90" spans="1:4" ht="31.8" thickBot="1" x14ac:dyDescent="0.35">
      <c r="A90" s="9" t="s">
        <v>24</v>
      </c>
      <c r="B90" s="13" t="s">
        <v>102</v>
      </c>
      <c r="C90" s="30">
        <f>$C$60*$C$89</f>
        <v>48.939093099959997</v>
      </c>
    </row>
    <row r="91" spans="1:4" ht="16.2" thickBot="1" x14ac:dyDescent="0.35">
      <c r="A91" s="9" t="s">
        <v>26</v>
      </c>
      <c r="B91" s="13" t="s">
        <v>59</v>
      </c>
      <c r="C91" s="30">
        <f>($C$36+$C$80)*(50%*(40%+10%)*8%)</f>
        <v>76.119246000000004</v>
      </c>
      <c r="D91" s="31"/>
    </row>
    <row r="92" spans="1:4" ht="16.2" thickBot="1" x14ac:dyDescent="0.35">
      <c r="A92" s="82" t="s">
        <v>2</v>
      </c>
      <c r="B92" s="83"/>
      <c r="C92" s="30">
        <f>SUM(C86:C91)</f>
        <v>437.64076467195991</v>
      </c>
    </row>
    <row r="95" spans="1:4" x14ac:dyDescent="0.3">
      <c r="A95" s="81" t="s">
        <v>60</v>
      </c>
      <c r="B95" s="81"/>
      <c r="C95" s="81"/>
    </row>
    <row r="98" spans="1:3" x14ac:dyDescent="0.3">
      <c r="A98" s="84" t="s">
        <v>110</v>
      </c>
      <c r="B98" s="84"/>
      <c r="C98" s="84"/>
    </row>
    <row r="99" spans="1:3" ht="16.2" thickBot="1" x14ac:dyDescent="0.35">
      <c r="A99" s="2"/>
    </row>
    <row r="100" spans="1:3" ht="16.2" thickBot="1" x14ac:dyDescent="0.35">
      <c r="A100" s="7" t="s">
        <v>61</v>
      </c>
      <c r="B100" s="8" t="s">
        <v>109</v>
      </c>
      <c r="C100" s="8" t="s">
        <v>16</v>
      </c>
    </row>
    <row r="101" spans="1:3" ht="16.2" thickBot="1" x14ac:dyDescent="0.35">
      <c r="A101" s="9" t="s">
        <v>17</v>
      </c>
      <c r="B101" s="10" t="s">
        <v>103</v>
      </c>
      <c r="C101" s="30">
        <f>(((C36+C80+C92)/30)*20.7123)/12</f>
        <v>244.15216599001397</v>
      </c>
    </row>
    <row r="102" spans="1:3" ht="16.2" thickBot="1" x14ac:dyDescent="0.35">
      <c r="A102" s="9" t="s">
        <v>19</v>
      </c>
      <c r="B102" s="10" t="s">
        <v>104</v>
      </c>
      <c r="C102" s="30">
        <f>(((C36+C80+C92)/30)*(1+3.4521+0.3044+0.0427+0.037+0.02+0.004+0.001))/12</f>
        <v>57.302786716620354</v>
      </c>
    </row>
    <row r="103" spans="1:3" ht="16.2" thickBot="1" x14ac:dyDescent="0.35">
      <c r="A103" s="9" t="s">
        <v>21</v>
      </c>
      <c r="B103" s="10" t="s">
        <v>105</v>
      </c>
      <c r="C103" s="30">
        <f>(((C36+C80+C92)/30)*0.1892)/12</f>
        <v>2.2302491662109301</v>
      </c>
    </row>
    <row r="104" spans="1:3" ht="16.2" thickBot="1" x14ac:dyDescent="0.35">
      <c r="A104" s="9" t="s">
        <v>23</v>
      </c>
      <c r="B104" s="10" t="s">
        <v>106</v>
      </c>
      <c r="C104" s="30">
        <f>(((C36+C80+C92)/30)*0.9548)/12</f>
        <v>11.254978350413298</v>
      </c>
    </row>
    <row r="105" spans="1:3" ht="16.2" thickBot="1" x14ac:dyDescent="0.35">
      <c r="A105" s="9" t="s">
        <v>24</v>
      </c>
      <c r="B105" s="10" t="s">
        <v>107</v>
      </c>
      <c r="C105" s="30">
        <f>(((C36+C80+C92)/30)*2.4723)/12</f>
        <v>29.142944046634685</v>
      </c>
    </row>
    <row r="106" spans="1:3" ht="16.2" thickBot="1" x14ac:dyDescent="0.35">
      <c r="A106" s="9" t="s">
        <v>26</v>
      </c>
      <c r="B106" s="10" t="s">
        <v>108</v>
      </c>
      <c r="C106" s="30"/>
    </row>
    <row r="107" spans="1:3" ht="16.2" thickBot="1" x14ac:dyDescent="0.35">
      <c r="A107" s="82" t="s">
        <v>45</v>
      </c>
      <c r="B107" s="83"/>
      <c r="C107" s="30">
        <f>SUM(C101:C106)</f>
        <v>344.08312426989323</v>
      </c>
    </row>
    <row r="110" spans="1:3" x14ac:dyDescent="0.3">
      <c r="A110" s="84" t="s">
        <v>112</v>
      </c>
      <c r="B110" s="84"/>
      <c r="C110" s="84"/>
    </row>
    <row r="111" spans="1:3" ht="16.2" thickBot="1" x14ac:dyDescent="0.35">
      <c r="A111" s="2"/>
    </row>
    <row r="112" spans="1:3" ht="16.2" thickBot="1" x14ac:dyDescent="0.35">
      <c r="A112" s="7" t="s">
        <v>62</v>
      </c>
      <c r="B112" s="8" t="s">
        <v>113</v>
      </c>
      <c r="C112" s="8" t="s">
        <v>16</v>
      </c>
    </row>
    <row r="113" spans="1:5" ht="16.2" thickBot="1" x14ac:dyDescent="0.35">
      <c r="A113" s="9" t="s">
        <v>17</v>
      </c>
      <c r="B113" s="10" t="s">
        <v>111</v>
      </c>
      <c r="C113" s="11"/>
    </row>
    <row r="114" spans="1:5" ht="16.2" thickBot="1" x14ac:dyDescent="0.35">
      <c r="A114" s="82" t="s">
        <v>2</v>
      </c>
      <c r="B114" s="83"/>
      <c r="C114" s="30">
        <v>0</v>
      </c>
    </row>
    <row r="117" spans="1:5" x14ac:dyDescent="0.3">
      <c r="A117" s="84" t="s">
        <v>63</v>
      </c>
      <c r="B117" s="84"/>
      <c r="C117" s="84"/>
    </row>
    <row r="118" spans="1:5" ht="16.2" thickBot="1" x14ac:dyDescent="0.35">
      <c r="A118" s="2"/>
    </row>
    <row r="119" spans="1:5" ht="16.2" thickBot="1" x14ac:dyDescent="0.35">
      <c r="A119" s="7">
        <v>4</v>
      </c>
      <c r="B119" s="8" t="s">
        <v>64</v>
      </c>
      <c r="C119" s="8" t="s">
        <v>16</v>
      </c>
    </row>
    <row r="120" spans="1:5" ht="16.2" thickBot="1" x14ac:dyDescent="0.35">
      <c r="A120" s="9" t="s">
        <v>61</v>
      </c>
      <c r="B120" s="10" t="s">
        <v>109</v>
      </c>
      <c r="C120" s="30">
        <f>C107</f>
        <v>344.08312426989323</v>
      </c>
    </row>
    <row r="121" spans="1:5" ht="16.2" thickBot="1" x14ac:dyDescent="0.35">
      <c r="A121" s="9" t="s">
        <v>62</v>
      </c>
      <c r="B121" s="10" t="s">
        <v>113</v>
      </c>
      <c r="C121" s="30">
        <f>C114</f>
        <v>0</v>
      </c>
    </row>
    <row r="122" spans="1:5" ht="16.2" thickBot="1" x14ac:dyDescent="0.35">
      <c r="A122" s="82" t="s">
        <v>2</v>
      </c>
      <c r="B122" s="83"/>
      <c r="C122" s="30">
        <f>SUM(C120:C121)</f>
        <v>344.08312426989323</v>
      </c>
    </row>
    <row r="125" spans="1:5" x14ac:dyDescent="0.3">
      <c r="A125" s="81" t="s">
        <v>65</v>
      </c>
      <c r="B125" s="81"/>
      <c r="C125" s="81"/>
    </row>
    <row r="126" spans="1:5" x14ac:dyDescent="0.3">
      <c r="A126" s="59"/>
      <c r="B126" s="59"/>
      <c r="C126" s="59"/>
    </row>
    <row r="127" spans="1:5" ht="16.2" thickBot="1" x14ac:dyDescent="0.35">
      <c r="A127" s="85" t="s">
        <v>152</v>
      </c>
      <c r="B127" s="85"/>
      <c r="C127" s="85"/>
      <c r="D127" s="85"/>
      <c r="E127" s="86"/>
    </row>
    <row r="128" spans="1:5" ht="16.2" thickBot="1" x14ac:dyDescent="0.35">
      <c r="A128" s="4" t="s">
        <v>146</v>
      </c>
      <c r="B128" s="4" t="s">
        <v>11</v>
      </c>
      <c r="C128" s="32" t="s">
        <v>12</v>
      </c>
      <c r="D128" s="32" t="s">
        <v>13</v>
      </c>
      <c r="E128" s="33" t="s">
        <v>0</v>
      </c>
    </row>
    <row r="129" spans="1:5" ht="16.2" thickBot="1" x14ac:dyDescent="0.35">
      <c r="A129" s="60">
        <v>1</v>
      </c>
      <c r="B129" s="36" t="s">
        <v>171</v>
      </c>
      <c r="C129" s="64">
        <v>4</v>
      </c>
      <c r="D129" s="65">
        <v>25.49</v>
      </c>
      <c r="E129" s="6">
        <f>C129*D129</f>
        <v>101.96</v>
      </c>
    </row>
    <row r="130" spans="1:5" ht="16.2" thickBot="1" x14ac:dyDescent="0.35">
      <c r="A130" s="61">
        <v>2</v>
      </c>
      <c r="B130" s="36" t="s">
        <v>172</v>
      </c>
      <c r="C130" s="66">
        <v>2</v>
      </c>
      <c r="D130" s="67">
        <v>36.17</v>
      </c>
      <c r="E130" s="6">
        <f>C130*D130</f>
        <v>72.34</v>
      </c>
    </row>
    <row r="131" spans="1:5" ht="16.2" thickBot="1" x14ac:dyDescent="0.35">
      <c r="A131" s="61">
        <v>3</v>
      </c>
      <c r="B131" s="36" t="s">
        <v>149</v>
      </c>
      <c r="C131" s="66">
        <v>4</v>
      </c>
      <c r="D131" s="67">
        <v>15</v>
      </c>
      <c r="E131" s="6">
        <f>C131*D131</f>
        <v>60</v>
      </c>
    </row>
    <row r="132" spans="1:5" ht="16.2" thickBot="1" x14ac:dyDescent="0.35">
      <c r="A132" s="61">
        <v>4</v>
      </c>
      <c r="B132" s="36" t="s">
        <v>173</v>
      </c>
      <c r="C132" s="66">
        <v>1</v>
      </c>
      <c r="D132" s="67">
        <v>66.790000000000006</v>
      </c>
      <c r="E132" s="6">
        <f>C132*D132</f>
        <v>66.790000000000006</v>
      </c>
    </row>
    <row r="133" spans="1:5" ht="16.2" thickBot="1" x14ac:dyDescent="0.35">
      <c r="A133" s="61">
        <v>5</v>
      </c>
      <c r="B133" s="36" t="s">
        <v>151</v>
      </c>
      <c r="C133" s="66">
        <v>1</v>
      </c>
      <c r="D133" s="67">
        <v>20.309999999999999</v>
      </c>
      <c r="E133" s="6">
        <f>C133*D133</f>
        <v>20.309999999999999</v>
      </c>
    </row>
    <row r="134" spans="1:5" ht="16.2" thickBot="1" x14ac:dyDescent="0.35">
      <c r="A134" s="87" t="s">
        <v>114</v>
      </c>
      <c r="B134" s="88"/>
      <c r="C134" s="5"/>
      <c r="D134" s="5"/>
      <c r="E134" s="37">
        <f>SUM(E129:E133)</f>
        <v>321.40000000000003</v>
      </c>
    </row>
    <row r="135" spans="1:5" ht="16.2" thickBot="1" x14ac:dyDescent="0.35">
      <c r="A135" s="87" t="s">
        <v>115</v>
      </c>
      <c r="B135" s="88"/>
      <c r="C135" s="5"/>
      <c r="D135" s="5"/>
      <c r="E135" s="37">
        <f>E134/12</f>
        <v>26.783333333333335</v>
      </c>
    </row>
    <row r="136" spans="1:5" ht="16.2" thickBot="1" x14ac:dyDescent="0.35">
      <c r="A136" s="59"/>
      <c r="B136" s="59"/>
      <c r="C136" s="59"/>
    </row>
    <row r="137" spans="1:5" ht="16.2" thickBot="1" x14ac:dyDescent="0.35">
      <c r="A137" s="7">
        <v>5</v>
      </c>
      <c r="B137" s="14" t="s">
        <v>6</v>
      </c>
      <c r="C137" s="8" t="s">
        <v>16</v>
      </c>
    </row>
    <row r="138" spans="1:5" ht="16.2" thickBot="1" x14ac:dyDescent="0.35">
      <c r="A138" s="9" t="s">
        <v>17</v>
      </c>
      <c r="B138" s="10" t="s">
        <v>66</v>
      </c>
      <c r="C138" s="30">
        <f>E135</f>
        <v>26.783333333333335</v>
      </c>
    </row>
    <row r="139" spans="1:5" ht="16.2" thickBot="1" x14ac:dyDescent="0.35">
      <c r="A139" s="9" t="s">
        <v>19</v>
      </c>
      <c r="B139" s="10" t="s">
        <v>67</v>
      </c>
      <c r="C139" s="30">
        <f>'Materiais Uso Coletivo'!G7</f>
        <v>0.48458333333333337</v>
      </c>
    </row>
    <row r="140" spans="1:5" ht="16.2" thickBot="1" x14ac:dyDescent="0.35">
      <c r="A140" s="9" t="s">
        <v>21</v>
      </c>
      <c r="B140" s="10" t="s">
        <v>68</v>
      </c>
      <c r="C140" s="30">
        <v>0</v>
      </c>
    </row>
    <row r="141" spans="1:5" ht="16.2" thickBot="1" x14ac:dyDescent="0.35">
      <c r="A141" s="9" t="s">
        <v>23</v>
      </c>
      <c r="B141" s="10" t="s">
        <v>28</v>
      </c>
      <c r="C141" s="30"/>
    </row>
    <row r="142" spans="1:5" ht="16.2" thickBot="1" x14ac:dyDescent="0.35">
      <c r="A142" s="82" t="s">
        <v>45</v>
      </c>
      <c r="B142" s="83"/>
      <c r="C142" s="30">
        <f>SUM(C138:C141)</f>
        <v>27.267916666666668</v>
      </c>
    </row>
    <row r="145" spans="1:5" x14ac:dyDescent="0.3">
      <c r="A145" s="81" t="s">
        <v>69</v>
      </c>
      <c r="B145" s="81"/>
      <c r="C145" s="81"/>
    </row>
    <row r="146" spans="1:5" ht="16.2" thickBot="1" x14ac:dyDescent="0.35"/>
    <row r="147" spans="1:5" ht="16.2" thickBot="1" x14ac:dyDescent="0.35">
      <c r="A147" s="7">
        <v>6</v>
      </c>
      <c r="B147" s="14" t="s">
        <v>7</v>
      </c>
      <c r="C147" s="8" t="s">
        <v>38</v>
      </c>
      <c r="D147" s="8" t="s">
        <v>16</v>
      </c>
    </row>
    <row r="148" spans="1:5" ht="16.2" thickBot="1" x14ac:dyDescent="0.35">
      <c r="A148" s="9" t="s">
        <v>17</v>
      </c>
      <c r="B148" s="10" t="s">
        <v>8</v>
      </c>
      <c r="C148" s="42">
        <v>0.03</v>
      </c>
      <c r="D148" s="40">
        <f>C165*C148</f>
        <v>138.44862316825558</v>
      </c>
    </row>
    <row r="149" spans="1:5" ht="16.2" thickBot="1" x14ac:dyDescent="0.35">
      <c r="A149" s="9" t="s">
        <v>19</v>
      </c>
      <c r="B149" s="10" t="s">
        <v>10</v>
      </c>
      <c r="C149" s="42">
        <v>6.7900000000000002E-2</v>
      </c>
      <c r="D149" s="40">
        <f>(C165+D148)*C149</f>
        <v>322.75604528394308</v>
      </c>
    </row>
    <row r="150" spans="1:5" ht="16.2" thickBot="1" x14ac:dyDescent="0.35">
      <c r="A150" s="9" t="s">
        <v>21</v>
      </c>
      <c r="B150" s="10" t="s">
        <v>9</v>
      </c>
      <c r="C150" s="38">
        <v>0.14249999999999999</v>
      </c>
      <c r="D150" s="41"/>
      <c r="E150" s="31">
        <f>(C165+D148+D149)/(1-C150)</f>
        <v>5919.7186869512761</v>
      </c>
    </row>
    <row r="151" spans="1:5" ht="16.2" thickBot="1" x14ac:dyDescent="0.35">
      <c r="A151" s="9"/>
      <c r="B151" s="10" t="s">
        <v>117</v>
      </c>
      <c r="C151" s="42">
        <v>1.6500000000000001E-2</v>
      </c>
      <c r="D151" s="40">
        <f>$E$150*C151</f>
        <v>97.675358334696057</v>
      </c>
    </row>
    <row r="152" spans="1:5" ht="16.2" thickBot="1" x14ac:dyDescent="0.35">
      <c r="A152" s="9"/>
      <c r="B152" s="10" t="s">
        <v>118</v>
      </c>
      <c r="C152" s="42">
        <v>7.5999999999999998E-2</v>
      </c>
      <c r="D152" s="40">
        <f>$E$150*C152</f>
        <v>449.89862020829696</v>
      </c>
    </row>
    <row r="153" spans="1:5" ht="16.2" thickBot="1" x14ac:dyDescent="0.35">
      <c r="A153" s="9"/>
      <c r="B153" s="10" t="s">
        <v>116</v>
      </c>
      <c r="C153" s="42">
        <v>0.05</v>
      </c>
      <c r="D153" s="40">
        <f t="shared" ref="D153" si="1">$E$150*C153</f>
        <v>295.98593434756384</v>
      </c>
    </row>
    <row r="154" spans="1:5" ht="16.2" thickBot="1" x14ac:dyDescent="0.35">
      <c r="A154" s="82" t="s">
        <v>45</v>
      </c>
      <c r="B154" s="83"/>
      <c r="C154" s="12">
        <v>0.30449999999999999</v>
      </c>
      <c r="D154" s="40">
        <f>SUM(D148:D153)</f>
        <v>1304.7645813427555</v>
      </c>
      <c r="E154" s="31"/>
    </row>
    <row r="155" spans="1:5" x14ac:dyDescent="0.3">
      <c r="D155" s="31"/>
    </row>
    <row r="157" spans="1:5" x14ac:dyDescent="0.3">
      <c r="A157" s="81" t="s">
        <v>70</v>
      </c>
      <c r="B157" s="81"/>
      <c r="C157" s="81"/>
    </row>
    <row r="158" spans="1:5" ht="16.2" thickBot="1" x14ac:dyDescent="0.35"/>
    <row r="159" spans="1:5" ht="16.2" thickBot="1" x14ac:dyDescent="0.35">
      <c r="A159" s="7"/>
      <c r="B159" s="8" t="s">
        <v>71</v>
      </c>
      <c r="C159" s="8" t="s">
        <v>16</v>
      </c>
    </row>
    <row r="160" spans="1:5" ht="16.2" thickBot="1" x14ac:dyDescent="0.35">
      <c r="A160" s="16" t="s">
        <v>17</v>
      </c>
      <c r="B160" s="10" t="s">
        <v>14</v>
      </c>
      <c r="C160" s="39">
        <f>C36</f>
        <v>2021.45</v>
      </c>
    </row>
    <row r="161" spans="1:5" ht="16.2" thickBot="1" x14ac:dyDescent="0.35">
      <c r="A161" s="16" t="s">
        <v>19</v>
      </c>
      <c r="B161" s="10" t="s">
        <v>29</v>
      </c>
      <c r="C161" s="39">
        <f>C80</f>
        <v>1784.5122999999999</v>
      </c>
    </row>
    <row r="162" spans="1:5" ht="16.2" thickBot="1" x14ac:dyDescent="0.35">
      <c r="A162" s="16" t="s">
        <v>21</v>
      </c>
      <c r="B162" s="10" t="s">
        <v>53</v>
      </c>
      <c r="C162" s="39">
        <f>C92</f>
        <v>437.64076467195991</v>
      </c>
    </row>
    <row r="163" spans="1:5" ht="16.2" thickBot="1" x14ac:dyDescent="0.35">
      <c r="A163" s="16" t="s">
        <v>23</v>
      </c>
      <c r="B163" s="10" t="s">
        <v>60</v>
      </c>
      <c r="C163" s="39">
        <f>C122</f>
        <v>344.08312426989323</v>
      </c>
    </row>
    <row r="164" spans="1:5" ht="16.2" thickBot="1" x14ac:dyDescent="0.35">
      <c r="A164" s="16" t="s">
        <v>24</v>
      </c>
      <c r="B164" s="10" t="s">
        <v>65</v>
      </c>
      <c r="C164" s="39">
        <f>C142</f>
        <v>27.267916666666668</v>
      </c>
    </row>
    <row r="165" spans="1:5" ht="16.2" thickBot="1" x14ac:dyDescent="0.35">
      <c r="A165" s="82" t="s">
        <v>72</v>
      </c>
      <c r="B165" s="83"/>
      <c r="C165" s="39">
        <f>SUM(C160:C164)</f>
        <v>4614.95410560852</v>
      </c>
    </row>
    <row r="166" spans="1:5" ht="16.2" thickBot="1" x14ac:dyDescent="0.35">
      <c r="A166" s="16" t="s">
        <v>26</v>
      </c>
      <c r="B166" s="10" t="s">
        <v>73</v>
      </c>
      <c r="C166" s="39">
        <f>D154</f>
        <v>1304.7645813427555</v>
      </c>
    </row>
    <row r="167" spans="1:5" ht="16.2" thickBot="1" x14ac:dyDescent="0.35">
      <c r="A167" s="82" t="s">
        <v>74</v>
      </c>
      <c r="B167" s="83"/>
      <c r="C167" s="39">
        <f>C165+C166</f>
        <v>5919.7186869512752</v>
      </c>
    </row>
    <row r="170" spans="1:5" x14ac:dyDescent="0.3">
      <c r="A170" t="s">
        <v>319</v>
      </c>
      <c r="B170"/>
      <c r="C170"/>
      <c r="D170"/>
      <c r="E170"/>
    </row>
    <row r="171" spans="1:5" x14ac:dyDescent="0.3">
      <c r="A171"/>
      <c r="B171"/>
      <c r="C171"/>
      <c r="D171"/>
      <c r="E171"/>
    </row>
    <row r="172" spans="1:5" x14ac:dyDescent="0.3">
      <c r="A172" s="48"/>
      <c r="B172" s="48" t="s">
        <v>120</v>
      </c>
      <c r="C172" s="49"/>
      <c r="D172" s="50"/>
    </row>
    <row r="173" spans="1:5" x14ac:dyDescent="0.3">
      <c r="A173" s="51"/>
      <c r="B173" s="51" t="s">
        <v>121</v>
      </c>
      <c r="C173" s="50"/>
      <c r="D173" s="50"/>
    </row>
    <row r="174" spans="1:5" x14ac:dyDescent="0.3">
      <c r="B174" s="15" t="s">
        <v>144</v>
      </c>
      <c r="C174" s="50"/>
      <c r="D174" s="50"/>
    </row>
    <row r="175" spans="1:5" x14ac:dyDescent="0.3">
      <c r="A175" s="3"/>
      <c r="B175" s="51" t="s">
        <v>123</v>
      </c>
      <c r="C175" s="50"/>
      <c r="D175" s="50"/>
    </row>
    <row r="176" spans="1:5" x14ac:dyDescent="0.3">
      <c r="A176" s="1"/>
      <c r="B176" s="1" t="s">
        <v>124</v>
      </c>
      <c r="C176" s="1"/>
      <c r="D176" s="50"/>
    </row>
    <row r="178" spans="2:2" x14ac:dyDescent="0.3">
      <c r="B178" s="48" t="s">
        <v>120</v>
      </c>
    </row>
    <row r="179" spans="2:2" x14ac:dyDescent="0.3">
      <c r="B179" s="51" t="s">
        <v>121</v>
      </c>
    </row>
    <row r="180" spans="2:2" x14ac:dyDescent="0.3">
      <c r="B180" s="15" t="s">
        <v>122</v>
      </c>
    </row>
    <row r="181" spans="2:2" x14ac:dyDescent="0.3">
      <c r="B181" s="51" t="s">
        <v>142</v>
      </c>
    </row>
    <row r="182" spans="2:2" x14ac:dyDescent="0.3">
      <c r="B182" s="1" t="s">
        <v>143</v>
      </c>
    </row>
  </sheetData>
  <mergeCells count="47">
    <mergeCell ref="A145:C145"/>
    <mergeCell ref="A154:B154"/>
    <mergeCell ref="A157:C157"/>
    <mergeCell ref="A165:B165"/>
    <mergeCell ref="A167:B167"/>
    <mergeCell ref="A142:B142"/>
    <mergeCell ref="A95:C95"/>
    <mergeCell ref="A98:C98"/>
    <mergeCell ref="A107:B107"/>
    <mergeCell ref="A110:C110"/>
    <mergeCell ref="A114:B114"/>
    <mergeCell ref="A117:C117"/>
    <mergeCell ref="A122:B122"/>
    <mergeCell ref="A125:C125"/>
    <mergeCell ref="A127:E127"/>
    <mergeCell ref="A134:B134"/>
    <mergeCell ref="A135:B135"/>
    <mergeCell ref="A92:B92"/>
    <mergeCell ref="A36:B36"/>
    <mergeCell ref="A39:C39"/>
    <mergeCell ref="A41:C41"/>
    <mergeCell ref="A46:B46"/>
    <mergeCell ref="A49:D49"/>
    <mergeCell ref="A60:B60"/>
    <mergeCell ref="A63:C63"/>
    <mergeCell ref="A71:B71"/>
    <mergeCell ref="A74:C74"/>
    <mergeCell ref="A80:B80"/>
    <mergeCell ref="A83:C83"/>
    <mergeCell ref="A27:C27"/>
    <mergeCell ref="C11:E11"/>
    <mergeCell ref="C12:E12"/>
    <mergeCell ref="A14:C14"/>
    <mergeCell ref="C15:E15"/>
    <mergeCell ref="C16:D16"/>
    <mergeCell ref="A18:E18"/>
    <mergeCell ref="A19:E19"/>
    <mergeCell ref="C20:E20"/>
    <mergeCell ref="C21:E21"/>
    <mergeCell ref="C22:E22"/>
    <mergeCell ref="C23:E23"/>
    <mergeCell ref="C10:E10"/>
    <mergeCell ref="A1:D1"/>
    <mergeCell ref="A2:D2"/>
    <mergeCell ref="A3:D3"/>
    <mergeCell ref="A8:E8"/>
    <mergeCell ref="C9:E9"/>
  </mergeCells>
  <pageMargins left="0.511811024" right="0.511811024" top="0.78740157499999996" bottom="0.78740157499999996" header="0.31496062000000002" footer="0.31496062000000002"/>
  <pageSetup paperSize="9" scale="71" orientation="portrait" r:id="rId1"/>
  <rowBreaks count="2" manualBreakCount="2">
    <brk id="61" max="4" man="1"/>
    <brk id="123" max="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FE268-AE61-4005-8553-0676D0D58395}">
  <dimension ref="A1:E183"/>
  <sheetViews>
    <sheetView showGridLines="0" topLeftCell="A7" zoomScale="115" zoomScaleNormal="115" workbookViewId="0">
      <selection sqref="A1:E183"/>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192</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176</v>
      </c>
      <c r="D16" s="90"/>
      <c r="E16" s="27">
        <v>9</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1092.5999999999999</v>
      </c>
      <c r="D21" s="94"/>
      <c r="E21" s="94"/>
    </row>
    <row r="22" spans="1:5" x14ac:dyDescent="0.3">
      <c r="A22" s="22">
        <v>3</v>
      </c>
      <c r="B22" s="29" t="s">
        <v>97</v>
      </c>
      <c r="C22" s="95" t="s">
        <v>177</v>
      </c>
      <c r="D22" s="95"/>
      <c r="E22" s="95"/>
    </row>
    <row r="23" spans="1:5" x14ac:dyDescent="0.3">
      <c r="A23" s="22">
        <v>4</v>
      </c>
      <c r="B23" s="29" t="s">
        <v>99</v>
      </c>
      <c r="C23" s="96">
        <v>43497</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1158.93</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1158.93</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96.577500000000001</v>
      </c>
    </row>
    <row r="45" spans="1:3" ht="16.2" thickBot="1" x14ac:dyDescent="0.35">
      <c r="A45" s="9" t="s">
        <v>19</v>
      </c>
      <c r="B45" s="10" t="s">
        <v>34</v>
      </c>
      <c r="C45" s="30">
        <f>C36*(1/12)+C36*(1/3)*(1/12)</f>
        <v>128.76999999999998</v>
      </c>
    </row>
    <row r="46" spans="1:3" ht="16.2" thickBot="1" x14ac:dyDescent="0.35">
      <c r="A46" s="82" t="s">
        <v>2</v>
      </c>
      <c r="B46" s="83"/>
      <c r="C46" s="30">
        <f>SUM(C44:C45)</f>
        <v>225.34749999999997</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276.85550000000006</v>
      </c>
    </row>
    <row r="53" spans="1:4" ht="16.2" thickBot="1" x14ac:dyDescent="0.35">
      <c r="A53" s="9" t="s">
        <v>19</v>
      </c>
      <c r="B53" s="10" t="s">
        <v>40</v>
      </c>
      <c r="C53" s="12">
        <v>2.5000000000000001E-2</v>
      </c>
      <c r="D53" s="30">
        <f t="shared" ref="D53:D60" si="0">($C$36+$C$46)*C53</f>
        <v>34.606937500000008</v>
      </c>
    </row>
    <row r="54" spans="1:4" ht="16.2" thickBot="1" x14ac:dyDescent="0.35">
      <c r="A54" s="9" t="s">
        <v>21</v>
      </c>
      <c r="B54" s="10" t="s">
        <v>41</v>
      </c>
      <c r="C54" s="12">
        <v>0.03</v>
      </c>
      <c r="D54" s="30">
        <f t="shared" si="0"/>
        <v>41.528325000000002</v>
      </c>
    </row>
    <row r="55" spans="1:4" ht="16.2" thickBot="1" x14ac:dyDescent="0.35">
      <c r="A55" s="9" t="s">
        <v>23</v>
      </c>
      <c r="B55" s="10" t="s">
        <v>42</v>
      </c>
      <c r="C55" s="12">
        <v>1.4999999999999999E-2</v>
      </c>
      <c r="D55" s="30">
        <f t="shared" si="0"/>
        <v>20.764162500000001</v>
      </c>
    </row>
    <row r="56" spans="1:4" ht="16.2" thickBot="1" x14ac:dyDescent="0.35">
      <c r="A56" s="9" t="s">
        <v>24</v>
      </c>
      <c r="B56" s="10" t="s">
        <v>43</v>
      </c>
      <c r="C56" s="12">
        <v>0.01</v>
      </c>
      <c r="D56" s="30">
        <f t="shared" si="0"/>
        <v>13.842775000000001</v>
      </c>
    </row>
    <row r="57" spans="1:4" ht="16.2" thickBot="1" x14ac:dyDescent="0.35">
      <c r="A57" s="9" t="s">
        <v>26</v>
      </c>
      <c r="B57" s="10" t="s">
        <v>3</v>
      </c>
      <c r="C57" s="12">
        <v>6.0000000000000001E-3</v>
      </c>
      <c r="D57" s="30">
        <f t="shared" si="0"/>
        <v>8.3056650000000012</v>
      </c>
    </row>
    <row r="58" spans="1:4" ht="16.2" thickBot="1" x14ac:dyDescent="0.35">
      <c r="A58" s="9" t="s">
        <v>27</v>
      </c>
      <c r="B58" s="10" t="s">
        <v>4</v>
      </c>
      <c r="C58" s="12">
        <v>2E-3</v>
      </c>
      <c r="D58" s="30">
        <f t="shared" si="0"/>
        <v>2.7685550000000005</v>
      </c>
    </row>
    <row r="59" spans="1:4" ht="16.2" thickBot="1" x14ac:dyDescent="0.35">
      <c r="A59" s="9" t="s">
        <v>44</v>
      </c>
      <c r="B59" s="10" t="s">
        <v>5</v>
      </c>
      <c r="C59" s="12">
        <v>0.08</v>
      </c>
      <c r="D59" s="30">
        <f t="shared" si="0"/>
        <v>110.74220000000001</v>
      </c>
    </row>
    <row r="60" spans="1:4" ht="16.2" thickBot="1" x14ac:dyDescent="0.35">
      <c r="A60" s="82" t="s">
        <v>45</v>
      </c>
      <c r="B60" s="83"/>
      <c r="C60" s="12">
        <f>SUM(C52:C59)</f>
        <v>0.36800000000000005</v>
      </c>
      <c r="D60" s="30">
        <f t="shared" si="0"/>
        <v>509.41412000000014</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(3.8*2*22)-(C36*100%*6%)</f>
        <v>97.664199999999994</v>
      </c>
    </row>
    <row r="67" spans="1:3" ht="16.2" thickBot="1" x14ac:dyDescent="0.35">
      <c r="A67" s="9" t="s">
        <v>19</v>
      </c>
      <c r="B67" s="10" t="s">
        <v>50</v>
      </c>
      <c r="C67" s="30">
        <f>(19*22)-((19*22)*5%)</f>
        <v>397.1</v>
      </c>
    </row>
    <row r="68" spans="1:3" ht="16.2" thickBot="1" x14ac:dyDescent="0.35">
      <c r="A68" s="9" t="s">
        <v>21</v>
      </c>
      <c r="B68" s="10" t="s">
        <v>100</v>
      </c>
      <c r="C68" s="40">
        <v>105</v>
      </c>
    </row>
    <row r="69" spans="1:3" ht="16.2" thickBot="1" x14ac:dyDescent="0.35">
      <c r="A69" s="9" t="s">
        <v>23</v>
      </c>
      <c r="B69" s="10" t="s">
        <v>101</v>
      </c>
      <c r="C69" s="40">
        <v>0</v>
      </c>
    </row>
    <row r="70" spans="1:3" ht="16.2" thickBot="1" x14ac:dyDescent="0.35">
      <c r="A70" s="82" t="s">
        <v>2</v>
      </c>
      <c r="B70" s="83"/>
      <c r="C70" s="30">
        <f>SUM(C66:C69)</f>
        <v>599.76420000000007</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225.34749999999997</v>
      </c>
    </row>
    <row r="77" spans="1:3" ht="16.2" thickBot="1" x14ac:dyDescent="0.35">
      <c r="A77" s="9" t="s">
        <v>36</v>
      </c>
      <c r="B77" s="10" t="s">
        <v>37</v>
      </c>
      <c r="C77" s="30">
        <f>D60</f>
        <v>509.41412000000014</v>
      </c>
    </row>
    <row r="78" spans="1:3" ht="16.2" thickBot="1" x14ac:dyDescent="0.35">
      <c r="A78" s="9" t="s">
        <v>47</v>
      </c>
      <c r="B78" s="10" t="s">
        <v>48</v>
      </c>
      <c r="C78" s="30">
        <f>C70</f>
        <v>599.76420000000007</v>
      </c>
    </row>
    <row r="79" spans="1:3" ht="16.2" thickBot="1" x14ac:dyDescent="0.35">
      <c r="A79" s="82" t="s">
        <v>2</v>
      </c>
      <c r="B79" s="83"/>
      <c r="C79" s="30">
        <f>SUM(C76:C78)</f>
        <v>1334.5258200000003</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73.1952407725</v>
      </c>
    </row>
    <row r="86" spans="1:4" ht="16.2" thickBot="1" x14ac:dyDescent="0.35">
      <c r="A86" s="9" t="s">
        <v>19</v>
      </c>
      <c r="B86" s="13" t="s">
        <v>56</v>
      </c>
      <c r="C86" s="30">
        <f>C85*8%</f>
        <v>5.8556192618000003</v>
      </c>
      <c r="D86" s="31"/>
    </row>
    <row r="87" spans="1:4" ht="16.2" thickBot="1" x14ac:dyDescent="0.35">
      <c r="A87" s="9" t="s">
        <v>21</v>
      </c>
      <c r="B87" s="13" t="s">
        <v>57</v>
      </c>
      <c r="C87" s="30">
        <f>($C$36+$C$46+$D$59+$C$70)*(50%*(40%+10%)*8%)</f>
        <v>41.895678000000011</v>
      </c>
      <c r="D87" s="31"/>
    </row>
    <row r="88" spans="1:4" ht="16.2" thickBot="1" x14ac:dyDescent="0.35">
      <c r="A88" s="9" t="s">
        <v>23</v>
      </c>
      <c r="B88" s="13" t="s">
        <v>58</v>
      </c>
      <c r="C88" s="30">
        <f>($C$36+$C$79)*(41.93%*(1/12))</f>
        <v>87.125502110499994</v>
      </c>
    </row>
    <row r="89" spans="1:4" ht="31.8" thickBot="1" x14ac:dyDescent="0.35">
      <c r="A89" s="9" t="s">
        <v>24</v>
      </c>
      <c r="B89" s="13" t="s">
        <v>102</v>
      </c>
      <c r="C89" s="30">
        <f>$C$60*$C$88</f>
        <v>32.062184776664004</v>
      </c>
    </row>
    <row r="90" spans="1:4" ht="16.2" thickBot="1" x14ac:dyDescent="0.35">
      <c r="A90" s="9" t="s">
        <v>26</v>
      </c>
      <c r="B90" s="13" t="s">
        <v>59</v>
      </c>
      <c r="C90" s="30">
        <f>($C$36+$C$79)*(50%*(40%+10%)*8%)</f>
        <v>49.869116400000003</v>
      </c>
      <c r="D90" s="31"/>
    </row>
    <row r="91" spans="1:4" ht="16.2" thickBot="1" x14ac:dyDescent="0.35">
      <c r="A91" s="82" t="s">
        <v>2</v>
      </c>
      <c r="B91" s="83"/>
      <c r="C91" s="30">
        <f>SUM(C85:C90)</f>
        <v>290.00334132146401</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160.14400329732936</v>
      </c>
    </row>
    <row r="101" spans="1:3" ht="16.2" thickBot="1" x14ac:dyDescent="0.35">
      <c r="A101" s="9" t="s">
        <v>19</v>
      </c>
      <c r="B101" s="10" t="s">
        <v>104</v>
      </c>
      <c r="C101" s="30">
        <f>(((C36+C79+C91)/30)*(1+3.4521+0.3044+0.0427+0.037+0.02+0.004+0.001))/12</f>
        <v>37.585976875044167</v>
      </c>
    </row>
    <row r="102" spans="1:3" ht="16.2" thickBot="1" x14ac:dyDescent="0.35">
      <c r="A102" s="9" t="s">
        <v>21</v>
      </c>
      <c r="B102" s="10" t="s">
        <v>105</v>
      </c>
      <c r="C102" s="30">
        <f>(((C36+C79+C91)/30)*0.1892)/12</f>
        <v>1.4628624258945031</v>
      </c>
    </row>
    <row r="103" spans="1:3" ht="16.2" thickBot="1" x14ac:dyDescent="0.35">
      <c r="A103" s="9" t="s">
        <v>23</v>
      </c>
      <c r="B103" s="10" t="s">
        <v>106</v>
      </c>
      <c r="C103" s="30">
        <f>(((C36+C79+C91)/30)*0.9548)/12</f>
        <v>7.382352242304818</v>
      </c>
    </row>
    <row r="104" spans="1:3" ht="16.2" thickBot="1" x14ac:dyDescent="0.35">
      <c r="A104" s="9" t="s">
        <v>24</v>
      </c>
      <c r="B104" s="10" t="s">
        <v>107</v>
      </c>
      <c r="C104" s="30">
        <f>(((C36+C79+C91)/30)*2.4723)/12</f>
        <v>19.11540579037516</v>
      </c>
    </row>
    <row r="105" spans="1:3" ht="16.2" thickBot="1" x14ac:dyDescent="0.35">
      <c r="A105" s="9" t="s">
        <v>26</v>
      </c>
      <c r="B105" s="10" t="s">
        <v>108</v>
      </c>
      <c r="C105" s="30"/>
    </row>
    <row r="106" spans="1:3" ht="16.2" thickBot="1" x14ac:dyDescent="0.35">
      <c r="A106" s="82" t="s">
        <v>45</v>
      </c>
      <c r="B106" s="83"/>
      <c r="C106" s="30">
        <f>SUM(C100:C105)</f>
        <v>225.69060063094801</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225.69060063094801</v>
      </c>
    </row>
    <row r="120" spans="1:5" ht="16.2" thickBot="1" x14ac:dyDescent="0.35">
      <c r="A120" s="9" t="s">
        <v>62</v>
      </c>
      <c r="B120" s="10" t="s">
        <v>113</v>
      </c>
      <c r="C120" s="30">
        <f>C113</f>
        <v>0</v>
      </c>
    </row>
    <row r="121" spans="1:5" ht="16.2" thickBot="1" x14ac:dyDescent="0.35">
      <c r="A121" s="82" t="s">
        <v>2</v>
      </c>
      <c r="B121" s="83"/>
      <c r="C121" s="30">
        <f>SUM(C119:C120)</f>
        <v>225.69060063094801</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64">
        <v>4</v>
      </c>
      <c r="D128" s="65">
        <v>23.14</v>
      </c>
      <c r="E128" s="6">
        <f>C128*D128</f>
        <v>92.56</v>
      </c>
    </row>
    <row r="129" spans="1:5" ht="16.2" thickBot="1" x14ac:dyDescent="0.35">
      <c r="A129" s="61">
        <v>2</v>
      </c>
      <c r="B129" s="36" t="s">
        <v>148</v>
      </c>
      <c r="C129" s="66">
        <v>2</v>
      </c>
      <c r="D129" s="67">
        <v>44.42</v>
      </c>
      <c r="E129" s="6">
        <f t="shared" ref="E129:E134" si="1">C129*D129</f>
        <v>88.84</v>
      </c>
    </row>
    <row r="130" spans="1:5" ht="16.2" thickBot="1" x14ac:dyDescent="0.35">
      <c r="A130" s="61">
        <v>3</v>
      </c>
      <c r="B130" s="36" t="s">
        <v>149</v>
      </c>
      <c r="C130" s="66">
        <v>4</v>
      </c>
      <c r="D130" s="67">
        <v>15</v>
      </c>
      <c r="E130" s="6">
        <f t="shared" si="1"/>
        <v>60</v>
      </c>
    </row>
    <row r="131" spans="1:5" ht="16.2" thickBot="1" x14ac:dyDescent="0.35">
      <c r="A131" s="61">
        <v>4</v>
      </c>
      <c r="B131" s="36" t="s">
        <v>156</v>
      </c>
      <c r="C131" s="66">
        <v>1</v>
      </c>
      <c r="D131" s="67">
        <v>45.29</v>
      </c>
      <c r="E131" s="6">
        <f t="shared" si="1"/>
        <v>45.29</v>
      </c>
    </row>
    <row r="132" spans="1:5" ht="16.2" thickBot="1" x14ac:dyDescent="0.35">
      <c r="A132" s="61">
        <v>5</v>
      </c>
      <c r="B132" s="36" t="s">
        <v>151</v>
      </c>
      <c r="C132" s="66">
        <v>1</v>
      </c>
      <c r="D132" s="67">
        <v>20.309999999999999</v>
      </c>
      <c r="E132" s="6">
        <f t="shared" si="1"/>
        <v>20.309999999999999</v>
      </c>
    </row>
    <row r="133" spans="1:5" ht="16.2" thickBot="1" x14ac:dyDescent="0.35">
      <c r="A133" s="61">
        <v>6</v>
      </c>
      <c r="B133" s="36" t="s">
        <v>178</v>
      </c>
      <c r="C133" s="66">
        <v>1</v>
      </c>
      <c r="D133" s="67">
        <v>11.37</v>
      </c>
      <c r="E133" s="6">
        <f t="shared" si="1"/>
        <v>11.37</v>
      </c>
    </row>
    <row r="134" spans="1:5" ht="16.2" thickBot="1" x14ac:dyDescent="0.35">
      <c r="A134" s="61">
        <v>7</v>
      </c>
      <c r="B134" s="36" t="s">
        <v>179</v>
      </c>
      <c r="C134" s="66">
        <v>1</v>
      </c>
      <c r="D134" s="67">
        <v>22.35</v>
      </c>
      <c r="E134" s="6">
        <f t="shared" si="1"/>
        <v>22.35</v>
      </c>
    </row>
    <row r="135" spans="1:5" ht="16.2" thickBot="1" x14ac:dyDescent="0.35">
      <c r="A135" s="87" t="s">
        <v>114</v>
      </c>
      <c r="B135" s="88"/>
      <c r="C135" s="5"/>
      <c r="D135" s="5"/>
      <c r="E135" s="37">
        <f>SUM(E128:E134)</f>
        <v>340.72</v>
      </c>
    </row>
    <row r="136" spans="1:5" ht="16.2" thickBot="1" x14ac:dyDescent="0.35">
      <c r="A136" s="87" t="s">
        <v>115</v>
      </c>
      <c r="B136" s="88"/>
      <c r="C136" s="5"/>
      <c r="D136" s="5"/>
      <c r="E136" s="37">
        <f>E135/12</f>
        <v>28.393333333333334</v>
      </c>
    </row>
    <row r="137" spans="1:5" ht="16.2" thickBot="1" x14ac:dyDescent="0.35">
      <c r="A137" s="59"/>
      <c r="B137" s="59"/>
      <c r="C137" s="59"/>
    </row>
    <row r="138" spans="1:5" ht="16.2" thickBot="1" x14ac:dyDescent="0.35">
      <c r="A138" s="7">
        <v>5</v>
      </c>
      <c r="B138" s="14" t="s">
        <v>6</v>
      </c>
      <c r="C138" s="8" t="s">
        <v>16</v>
      </c>
    </row>
    <row r="139" spans="1:5" ht="16.2" thickBot="1" x14ac:dyDescent="0.35">
      <c r="A139" s="9" t="s">
        <v>17</v>
      </c>
      <c r="B139" s="10" t="s">
        <v>66</v>
      </c>
      <c r="C139" s="30">
        <f>E136</f>
        <v>28.393333333333334</v>
      </c>
    </row>
    <row r="140" spans="1:5" ht="16.2" thickBot="1" x14ac:dyDescent="0.35">
      <c r="A140" s="9" t="s">
        <v>19</v>
      </c>
      <c r="B140" s="10" t="s">
        <v>67</v>
      </c>
      <c r="C140" s="30">
        <f>'Materiais Ag de Portaria'!G7+0.48</f>
        <v>1.2249999999999999</v>
      </c>
    </row>
    <row r="141" spans="1:5" ht="16.2" thickBot="1" x14ac:dyDescent="0.35">
      <c r="A141" s="9" t="s">
        <v>21</v>
      </c>
      <c r="B141" s="10" t="s">
        <v>68</v>
      </c>
      <c r="C141" s="30">
        <v>0</v>
      </c>
    </row>
    <row r="142" spans="1:5" ht="16.2" thickBot="1" x14ac:dyDescent="0.35">
      <c r="A142" s="9" t="s">
        <v>23</v>
      </c>
      <c r="B142" s="10" t="s">
        <v>28</v>
      </c>
      <c r="C142" s="30"/>
    </row>
    <row r="143" spans="1:5" ht="16.2" thickBot="1" x14ac:dyDescent="0.35">
      <c r="A143" s="82" t="s">
        <v>45</v>
      </c>
      <c r="B143" s="83"/>
      <c r="C143" s="30">
        <f>SUM(C139:C142)</f>
        <v>29.618333333333336</v>
      </c>
    </row>
    <row r="146" spans="1:5" x14ac:dyDescent="0.3">
      <c r="A146" s="81" t="s">
        <v>69</v>
      </c>
      <c r="B146" s="81"/>
      <c r="C146" s="81"/>
    </row>
    <row r="147" spans="1:5" ht="16.2" thickBot="1" x14ac:dyDescent="0.35"/>
    <row r="148" spans="1:5" ht="16.2" thickBot="1" x14ac:dyDescent="0.35">
      <c r="A148" s="7">
        <v>6</v>
      </c>
      <c r="B148" s="14" t="s">
        <v>7</v>
      </c>
      <c r="C148" s="8" t="s">
        <v>38</v>
      </c>
      <c r="D148" s="8" t="s">
        <v>16</v>
      </c>
    </row>
    <row r="149" spans="1:5" ht="16.2" thickBot="1" x14ac:dyDescent="0.35">
      <c r="A149" s="9" t="s">
        <v>17</v>
      </c>
      <c r="B149" s="10" t="s">
        <v>8</v>
      </c>
      <c r="C149" s="42">
        <v>0.03</v>
      </c>
      <c r="D149" s="40">
        <f>C166*C149</f>
        <v>91.163042858572368</v>
      </c>
    </row>
    <row r="150" spans="1:5" ht="16.2" thickBot="1" x14ac:dyDescent="0.35">
      <c r="A150" s="9" t="s">
        <v>19</v>
      </c>
      <c r="B150" s="10" t="s">
        <v>10</v>
      </c>
      <c r="C150" s="42">
        <v>6.7900000000000002E-2</v>
      </c>
      <c r="D150" s="40">
        <f>(C166+D149)*C150</f>
        <v>212.5223242799992</v>
      </c>
    </row>
    <row r="151" spans="1:5" ht="16.2" thickBot="1" x14ac:dyDescent="0.35">
      <c r="A151" s="9" t="s">
        <v>21</v>
      </c>
      <c r="B151" s="10" t="s">
        <v>9</v>
      </c>
      <c r="C151" s="38">
        <v>0.14249999999999999</v>
      </c>
      <c r="D151" s="41"/>
      <c r="E151" s="31">
        <f>(C166+D149+D150)/(1-C151)</f>
        <v>3897.9049124481835</v>
      </c>
    </row>
    <row r="152" spans="1:5" ht="16.2" thickBot="1" x14ac:dyDescent="0.35">
      <c r="A152" s="9"/>
      <c r="B152" s="10" t="s">
        <v>117</v>
      </c>
      <c r="C152" s="42">
        <v>1.6500000000000001E-2</v>
      </c>
      <c r="D152" s="40">
        <f>$E$151*C152</f>
        <v>64.315431055395024</v>
      </c>
    </row>
    <row r="153" spans="1:5" ht="16.2" thickBot="1" x14ac:dyDescent="0.35">
      <c r="A153" s="9"/>
      <c r="B153" s="10" t="s">
        <v>118</v>
      </c>
      <c r="C153" s="42">
        <v>7.5999999999999998E-2</v>
      </c>
      <c r="D153" s="40">
        <f>$E$151*C153</f>
        <v>296.24077334606193</v>
      </c>
    </row>
    <row r="154" spans="1:5" ht="16.2" thickBot="1" x14ac:dyDescent="0.35">
      <c r="A154" s="9"/>
      <c r="B154" s="10" t="s">
        <v>116</v>
      </c>
      <c r="C154" s="42">
        <v>0.05</v>
      </c>
      <c r="D154" s="40">
        <f t="shared" ref="D154" si="2">$E$151*C154</f>
        <v>194.89524562240919</v>
      </c>
    </row>
    <row r="155" spans="1:5" ht="16.2" thickBot="1" x14ac:dyDescent="0.35">
      <c r="A155" s="82" t="s">
        <v>45</v>
      </c>
      <c r="B155" s="83"/>
      <c r="C155" s="12">
        <v>0.30449999999999999</v>
      </c>
      <c r="D155" s="40">
        <f>SUM(D149:D154)</f>
        <v>859.13681716243775</v>
      </c>
      <c r="E155" s="31"/>
    </row>
    <row r="156" spans="1:5" x14ac:dyDescent="0.3">
      <c r="D156" s="31"/>
    </row>
    <row r="158" spans="1:5" x14ac:dyDescent="0.3">
      <c r="A158" s="81" t="s">
        <v>70</v>
      </c>
      <c r="B158" s="81"/>
      <c r="C158" s="81"/>
    </row>
    <row r="159" spans="1:5" ht="16.2" thickBot="1" x14ac:dyDescent="0.35"/>
    <row r="160" spans="1:5" ht="16.2" thickBot="1" x14ac:dyDescent="0.35">
      <c r="A160" s="7"/>
      <c r="B160" s="8" t="s">
        <v>71</v>
      </c>
      <c r="C160" s="8" t="s">
        <v>16</v>
      </c>
    </row>
    <row r="161" spans="1:5" ht="16.2" thickBot="1" x14ac:dyDescent="0.35">
      <c r="A161" s="16" t="s">
        <v>17</v>
      </c>
      <c r="B161" s="10" t="s">
        <v>14</v>
      </c>
      <c r="C161" s="39">
        <f>C36</f>
        <v>1158.93</v>
      </c>
    </row>
    <row r="162" spans="1:5" ht="16.2" thickBot="1" x14ac:dyDescent="0.35">
      <c r="A162" s="16" t="s">
        <v>19</v>
      </c>
      <c r="B162" s="10" t="s">
        <v>29</v>
      </c>
      <c r="C162" s="39">
        <f>C79</f>
        <v>1334.5258200000003</v>
      </c>
    </row>
    <row r="163" spans="1:5" ht="16.2" thickBot="1" x14ac:dyDescent="0.35">
      <c r="A163" s="16" t="s">
        <v>21</v>
      </c>
      <c r="B163" s="10" t="s">
        <v>53</v>
      </c>
      <c r="C163" s="39">
        <f>C91</f>
        <v>290.00334132146401</v>
      </c>
    </row>
    <row r="164" spans="1:5" ht="16.2" thickBot="1" x14ac:dyDescent="0.35">
      <c r="A164" s="16" t="s">
        <v>23</v>
      </c>
      <c r="B164" s="10" t="s">
        <v>60</v>
      </c>
      <c r="C164" s="39">
        <f>C121</f>
        <v>225.69060063094801</v>
      </c>
    </row>
    <row r="165" spans="1:5" ht="16.2" thickBot="1" x14ac:dyDescent="0.35">
      <c r="A165" s="16" t="s">
        <v>24</v>
      </c>
      <c r="B165" s="10" t="s">
        <v>65</v>
      </c>
      <c r="C165" s="39">
        <f>C143</f>
        <v>29.618333333333336</v>
      </c>
    </row>
    <row r="166" spans="1:5" ht="16.2" thickBot="1" x14ac:dyDescent="0.35">
      <c r="A166" s="82" t="s">
        <v>72</v>
      </c>
      <c r="B166" s="83"/>
      <c r="C166" s="39">
        <f>SUM(C161:C165)</f>
        <v>3038.7680952857459</v>
      </c>
    </row>
    <row r="167" spans="1:5" ht="16.2" thickBot="1" x14ac:dyDescent="0.35">
      <c r="A167" s="16" t="s">
        <v>26</v>
      </c>
      <c r="B167" s="10" t="s">
        <v>73</v>
      </c>
      <c r="C167" s="39">
        <f>D155</f>
        <v>859.13681716243775</v>
      </c>
    </row>
    <row r="168" spans="1:5" ht="16.2" thickBot="1" x14ac:dyDescent="0.35">
      <c r="A168" s="82" t="s">
        <v>74</v>
      </c>
      <c r="B168" s="83"/>
      <c r="C168" s="39">
        <f>C166+C167</f>
        <v>3897.9049124481835</v>
      </c>
    </row>
    <row r="171" spans="1:5" x14ac:dyDescent="0.3">
      <c r="A171" t="s">
        <v>319</v>
      </c>
      <c r="B171"/>
      <c r="C171"/>
      <c r="D171"/>
      <c r="E171"/>
    </row>
    <row r="172" spans="1:5" x14ac:dyDescent="0.3">
      <c r="A172"/>
      <c r="B172"/>
      <c r="C172"/>
      <c r="D172"/>
      <c r="E172"/>
    </row>
    <row r="173" spans="1:5" x14ac:dyDescent="0.3">
      <c r="A173" s="48"/>
      <c r="B173" s="48" t="s">
        <v>120</v>
      </c>
      <c r="C173" s="49"/>
      <c r="D173" s="50"/>
    </row>
    <row r="174" spans="1:5" x14ac:dyDescent="0.3">
      <c r="A174" s="51"/>
      <c r="B174" s="51" t="s">
        <v>121</v>
      </c>
      <c r="C174" s="50"/>
      <c r="D174" s="50"/>
    </row>
    <row r="175" spans="1:5" x14ac:dyDescent="0.3">
      <c r="B175" s="15" t="s">
        <v>144</v>
      </c>
      <c r="C175" s="50"/>
      <c r="D175" s="50"/>
    </row>
    <row r="176" spans="1:5" x14ac:dyDescent="0.3">
      <c r="A176" s="3"/>
      <c r="B176" s="51" t="s">
        <v>123</v>
      </c>
      <c r="C176" s="50"/>
      <c r="D176" s="50"/>
    </row>
    <row r="177" spans="1:4" x14ac:dyDescent="0.3">
      <c r="A177" s="1"/>
      <c r="B177" s="1" t="s">
        <v>124</v>
      </c>
      <c r="C177" s="1"/>
      <c r="D177" s="50"/>
    </row>
    <row r="179" spans="1:4" x14ac:dyDescent="0.3">
      <c r="B179" s="48" t="s">
        <v>120</v>
      </c>
    </row>
    <row r="180" spans="1:4" x14ac:dyDescent="0.3">
      <c r="B180" s="51" t="s">
        <v>121</v>
      </c>
    </row>
    <row r="181" spans="1:4" x14ac:dyDescent="0.3">
      <c r="B181" s="15" t="s">
        <v>122</v>
      </c>
    </row>
    <row r="182" spans="1:4" x14ac:dyDescent="0.3">
      <c r="B182" s="51" t="s">
        <v>142</v>
      </c>
    </row>
    <row r="183" spans="1:4" x14ac:dyDescent="0.3">
      <c r="B183" s="1" t="s">
        <v>143</v>
      </c>
    </row>
  </sheetData>
  <mergeCells count="47">
    <mergeCell ref="C10:E10"/>
    <mergeCell ref="A1:D1"/>
    <mergeCell ref="A2:D2"/>
    <mergeCell ref="A3:D3"/>
    <mergeCell ref="A8:E8"/>
    <mergeCell ref="C9:E9"/>
    <mergeCell ref="A27:C27"/>
    <mergeCell ref="C11:E11"/>
    <mergeCell ref="C12:E12"/>
    <mergeCell ref="A14:C14"/>
    <mergeCell ref="C15:E15"/>
    <mergeCell ref="C16:D16"/>
    <mergeCell ref="A18:E18"/>
    <mergeCell ref="A19:E19"/>
    <mergeCell ref="C20:E20"/>
    <mergeCell ref="C21:E21"/>
    <mergeCell ref="C22:E22"/>
    <mergeCell ref="C23:E23"/>
    <mergeCell ref="A91:B91"/>
    <mergeCell ref="A36:B36"/>
    <mergeCell ref="A39:C39"/>
    <mergeCell ref="A41:C41"/>
    <mergeCell ref="A46:B46"/>
    <mergeCell ref="A49:D49"/>
    <mergeCell ref="A60:B60"/>
    <mergeCell ref="A63:C63"/>
    <mergeCell ref="A70:B70"/>
    <mergeCell ref="A73:C73"/>
    <mergeCell ref="A79:B79"/>
    <mergeCell ref="A82:C82"/>
    <mergeCell ref="A143:B143"/>
    <mergeCell ref="A94:C94"/>
    <mergeCell ref="A97:C97"/>
    <mergeCell ref="A106:B106"/>
    <mergeCell ref="A109:C109"/>
    <mergeCell ref="A113:B113"/>
    <mergeCell ref="A116:C116"/>
    <mergeCell ref="A121:B121"/>
    <mergeCell ref="A124:C124"/>
    <mergeCell ref="A126:E126"/>
    <mergeCell ref="A135:B135"/>
    <mergeCell ref="A136:B136"/>
    <mergeCell ref="A146:C146"/>
    <mergeCell ref="A155:B155"/>
    <mergeCell ref="A158:C158"/>
    <mergeCell ref="A166:B166"/>
    <mergeCell ref="A168:B168"/>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3F65-68F1-4429-AB7B-9D44BBAB998B}">
  <dimension ref="A1:E183"/>
  <sheetViews>
    <sheetView showGridLines="0" zoomScale="115" zoomScaleNormal="115" workbookViewId="0">
      <selection sqref="A1:E183"/>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192</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176</v>
      </c>
      <c r="D16" s="90"/>
      <c r="E16" s="27">
        <v>1</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1092.5999999999999</v>
      </c>
      <c r="D21" s="94"/>
      <c r="E21" s="94"/>
    </row>
    <row r="22" spans="1:5" ht="31.5" customHeight="1" x14ac:dyDescent="0.3">
      <c r="A22" s="22">
        <v>3</v>
      </c>
      <c r="B22" s="29" t="s">
        <v>97</v>
      </c>
      <c r="C22" s="95" t="s">
        <v>213</v>
      </c>
      <c r="D22" s="95"/>
      <c r="E22" s="95"/>
    </row>
    <row r="23" spans="1:5" x14ac:dyDescent="0.3">
      <c r="A23" s="22">
        <v>4</v>
      </c>
      <c r="B23" s="29" t="s">
        <v>99</v>
      </c>
      <c r="C23" s="96">
        <v>43497</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1158.93</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1158.93</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96.577500000000001</v>
      </c>
    </row>
    <row r="45" spans="1:3" ht="16.2" thickBot="1" x14ac:dyDescent="0.35">
      <c r="A45" s="9" t="s">
        <v>19</v>
      </c>
      <c r="B45" s="10" t="s">
        <v>34</v>
      </c>
      <c r="C45" s="30">
        <f>C36*(1/12)+C36*(1/3)*(1/12)</f>
        <v>128.76999999999998</v>
      </c>
    </row>
    <row r="46" spans="1:3" ht="16.2" thickBot="1" x14ac:dyDescent="0.35">
      <c r="A46" s="82" t="s">
        <v>2</v>
      </c>
      <c r="B46" s="83"/>
      <c r="C46" s="30">
        <f>SUM(C44:C45)</f>
        <v>225.34749999999997</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276.85550000000006</v>
      </c>
    </row>
    <row r="53" spans="1:4" ht="16.2" thickBot="1" x14ac:dyDescent="0.35">
      <c r="A53" s="9" t="s">
        <v>19</v>
      </c>
      <c r="B53" s="10" t="s">
        <v>40</v>
      </c>
      <c r="C53" s="12">
        <v>2.5000000000000001E-2</v>
      </c>
      <c r="D53" s="30">
        <f t="shared" ref="D53:D60" si="0">($C$36+$C$46)*C53</f>
        <v>34.606937500000008</v>
      </c>
    </row>
    <row r="54" spans="1:4" ht="16.2" thickBot="1" x14ac:dyDescent="0.35">
      <c r="A54" s="9" t="s">
        <v>21</v>
      </c>
      <c r="B54" s="10" t="s">
        <v>41</v>
      </c>
      <c r="C54" s="12">
        <v>0.03</v>
      </c>
      <c r="D54" s="30">
        <f t="shared" si="0"/>
        <v>41.528325000000002</v>
      </c>
    </row>
    <row r="55" spans="1:4" ht="16.2" thickBot="1" x14ac:dyDescent="0.35">
      <c r="A55" s="9" t="s">
        <v>23</v>
      </c>
      <c r="B55" s="10" t="s">
        <v>42</v>
      </c>
      <c r="C55" s="12">
        <v>1.4999999999999999E-2</v>
      </c>
      <c r="D55" s="30">
        <f t="shared" si="0"/>
        <v>20.764162500000001</v>
      </c>
    </row>
    <row r="56" spans="1:4" ht="16.2" thickBot="1" x14ac:dyDescent="0.35">
      <c r="A56" s="9" t="s">
        <v>24</v>
      </c>
      <c r="B56" s="10" t="s">
        <v>43</v>
      </c>
      <c r="C56" s="12">
        <v>0.01</v>
      </c>
      <c r="D56" s="30">
        <f t="shared" si="0"/>
        <v>13.842775000000001</v>
      </c>
    </row>
    <row r="57" spans="1:4" ht="16.2" thickBot="1" x14ac:dyDescent="0.35">
      <c r="A57" s="9" t="s">
        <v>26</v>
      </c>
      <c r="B57" s="10" t="s">
        <v>3</v>
      </c>
      <c r="C57" s="12">
        <v>6.0000000000000001E-3</v>
      </c>
      <c r="D57" s="30">
        <f t="shared" si="0"/>
        <v>8.3056650000000012</v>
      </c>
    </row>
    <row r="58" spans="1:4" ht="16.2" thickBot="1" x14ac:dyDescent="0.35">
      <c r="A58" s="9" t="s">
        <v>27</v>
      </c>
      <c r="B58" s="10" t="s">
        <v>4</v>
      </c>
      <c r="C58" s="12">
        <v>2E-3</v>
      </c>
      <c r="D58" s="30">
        <f t="shared" si="0"/>
        <v>2.7685550000000005</v>
      </c>
    </row>
    <row r="59" spans="1:4" ht="16.2" thickBot="1" x14ac:dyDescent="0.35">
      <c r="A59" s="9" t="s">
        <v>44</v>
      </c>
      <c r="B59" s="10" t="s">
        <v>5</v>
      </c>
      <c r="C59" s="12">
        <v>0.08</v>
      </c>
      <c r="D59" s="30">
        <f t="shared" si="0"/>
        <v>110.74220000000001</v>
      </c>
    </row>
    <row r="60" spans="1:4" ht="16.2" thickBot="1" x14ac:dyDescent="0.35">
      <c r="A60" s="82" t="s">
        <v>45</v>
      </c>
      <c r="B60" s="83"/>
      <c r="C60" s="12">
        <f>SUM(C52:C59)</f>
        <v>0.36800000000000005</v>
      </c>
      <c r="D60" s="30">
        <f t="shared" si="0"/>
        <v>509.41412000000014</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(3.8*2*12)-(C36*100%*6%)</f>
        <v>21.664199999999994</v>
      </c>
    </row>
    <row r="67" spans="1:3" ht="16.2" thickBot="1" x14ac:dyDescent="0.35">
      <c r="A67" s="9" t="s">
        <v>19</v>
      </c>
      <c r="B67" s="10" t="s">
        <v>50</v>
      </c>
      <c r="C67" s="30">
        <f>(19*12)-((19*12)*5%)</f>
        <v>216.6</v>
      </c>
    </row>
    <row r="68" spans="1:3" ht="16.2" thickBot="1" x14ac:dyDescent="0.35">
      <c r="A68" s="9" t="s">
        <v>21</v>
      </c>
      <c r="B68" s="10" t="s">
        <v>100</v>
      </c>
      <c r="C68" s="40">
        <v>105</v>
      </c>
    </row>
    <row r="69" spans="1:3" ht="16.2" thickBot="1" x14ac:dyDescent="0.35">
      <c r="A69" s="9" t="s">
        <v>23</v>
      </c>
      <c r="B69" s="10" t="s">
        <v>101</v>
      </c>
      <c r="C69" s="40">
        <v>0</v>
      </c>
    </row>
    <row r="70" spans="1:3" ht="16.2" thickBot="1" x14ac:dyDescent="0.35">
      <c r="A70" s="82" t="s">
        <v>2</v>
      </c>
      <c r="B70" s="83"/>
      <c r="C70" s="30">
        <f>SUM(C66:C69)</f>
        <v>343.26419999999996</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225.34749999999997</v>
      </c>
    </row>
    <row r="77" spans="1:3" ht="16.2" thickBot="1" x14ac:dyDescent="0.35">
      <c r="A77" s="9" t="s">
        <v>36</v>
      </c>
      <c r="B77" s="10" t="s">
        <v>37</v>
      </c>
      <c r="C77" s="30">
        <f>D60</f>
        <v>509.41412000000014</v>
      </c>
    </row>
    <row r="78" spans="1:3" ht="16.2" thickBot="1" x14ac:dyDescent="0.35">
      <c r="A78" s="9" t="s">
        <v>47</v>
      </c>
      <c r="B78" s="10" t="s">
        <v>48</v>
      </c>
      <c r="C78" s="30">
        <f>C70</f>
        <v>343.26419999999996</v>
      </c>
    </row>
    <row r="79" spans="1:3" ht="16.2" thickBot="1" x14ac:dyDescent="0.35">
      <c r="A79" s="82" t="s">
        <v>2</v>
      </c>
      <c r="B79" s="83"/>
      <c r="C79" s="30">
        <f>SUM(C76:C78)</f>
        <v>1078.0258200000001</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64.23270327249999</v>
      </c>
    </row>
    <row r="86" spans="1:4" ht="16.2" thickBot="1" x14ac:dyDescent="0.35">
      <c r="A86" s="9" t="s">
        <v>19</v>
      </c>
      <c r="B86" s="13" t="s">
        <v>56</v>
      </c>
      <c r="C86" s="30">
        <f>C85*8%</f>
        <v>5.1386162617999993</v>
      </c>
      <c r="D86" s="31"/>
    </row>
    <row r="87" spans="1:4" ht="16.2" thickBot="1" x14ac:dyDescent="0.35">
      <c r="A87" s="9" t="s">
        <v>21</v>
      </c>
      <c r="B87" s="13" t="s">
        <v>57</v>
      </c>
      <c r="C87" s="30">
        <f>($C$36+$C$46+$D$59+$C$70)*(50%*(40%+10%)*8%)</f>
        <v>36.765678000000001</v>
      </c>
      <c r="D87" s="31"/>
    </row>
    <row r="88" spans="1:4" ht="16.2" thickBot="1" x14ac:dyDescent="0.35">
      <c r="A88" s="9" t="s">
        <v>23</v>
      </c>
      <c r="B88" s="13" t="s">
        <v>58</v>
      </c>
      <c r="C88" s="30">
        <f>($C$36+$C$79)*(41.93%*(1/12))</f>
        <v>78.162964610499998</v>
      </c>
    </row>
    <row r="89" spans="1:4" ht="31.8" thickBot="1" x14ac:dyDescent="0.35">
      <c r="A89" s="9" t="s">
        <v>24</v>
      </c>
      <c r="B89" s="13" t="s">
        <v>102</v>
      </c>
      <c r="C89" s="30">
        <f>$C$60*$C$88</f>
        <v>28.763970976664002</v>
      </c>
    </row>
    <row r="90" spans="1:4" ht="16.2" thickBot="1" x14ac:dyDescent="0.35">
      <c r="A90" s="9" t="s">
        <v>26</v>
      </c>
      <c r="B90" s="13" t="s">
        <v>59</v>
      </c>
      <c r="C90" s="30">
        <f>($C$36+$C$79)*(50%*(40%+10%)*8%)</f>
        <v>44.7391164</v>
      </c>
      <c r="D90" s="31"/>
    </row>
    <row r="91" spans="1:4" ht="16.2" thickBot="1" x14ac:dyDescent="0.35">
      <c r="A91" s="82" t="s">
        <v>2</v>
      </c>
      <c r="B91" s="83"/>
      <c r="C91" s="30">
        <f>SUM(C85:C90)</f>
        <v>257.803049521464</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143.53387259219284</v>
      </c>
    </row>
    <row r="101" spans="1:3" ht="16.2" thickBot="1" x14ac:dyDescent="0.35">
      <c r="A101" s="9" t="s">
        <v>19</v>
      </c>
      <c r="B101" s="10" t="s">
        <v>104</v>
      </c>
      <c r="C101" s="30">
        <f>(((C36+C79+C91)/30)*(1+3.4521+0.3044+0.0427+0.037+0.02+0.004+0.001))/12</f>
        <v>33.687560601438165</v>
      </c>
    </row>
    <row r="102" spans="1:3" ht="16.2" thickBot="1" x14ac:dyDescent="0.35">
      <c r="A102" s="9" t="s">
        <v>21</v>
      </c>
      <c r="B102" s="10" t="s">
        <v>105</v>
      </c>
      <c r="C102" s="30">
        <f>(((C36+C79+C91)/30)*0.1892)/12</f>
        <v>1.311134383648503</v>
      </c>
    </row>
    <row r="103" spans="1:3" ht="16.2" thickBot="1" x14ac:dyDescent="0.35">
      <c r="A103" s="9" t="s">
        <v>23</v>
      </c>
      <c r="B103" s="10" t="s">
        <v>106</v>
      </c>
      <c r="C103" s="30">
        <f>(((C36+C79+C91)/30)*0.9548)/12</f>
        <v>6.6166549128308167</v>
      </c>
    </row>
    <row r="104" spans="1:3" ht="16.2" thickBot="1" x14ac:dyDescent="0.35">
      <c r="A104" s="9" t="s">
        <v>24</v>
      </c>
      <c r="B104" s="10" t="s">
        <v>107</v>
      </c>
      <c r="C104" s="30">
        <f>(((C36+C79+C91)/30)*2.4723)/12</f>
        <v>17.132756536438656</v>
      </c>
    </row>
    <row r="105" spans="1:3" ht="16.2" thickBot="1" x14ac:dyDescent="0.35">
      <c r="A105" s="9" t="s">
        <v>26</v>
      </c>
      <c r="B105" s="10" t="s">
        <v>108</v>
      </c>
      <c r="C105" s="30"/>
    </row>
    <row r="106" spans="1:3" ht="16.2" thickBot="1" x14ac:dyDescent="0.35">
      <c r="A106" s="82" t="s">
        <v>45</v>
      </c>
      <c r="B106" s="83"/>
      <c r="C106" s="30">
        <f>SUM(C100:C105)</f>
        <v>202.28197902654898</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202.28197902654898</v>
      </c>
    </row>
    <row r="120" spans="1:5" ht="16.2" thickBot="1" x14ac:dyDescent="0.35">
      <c r="A120" s="9" t="s">
        <v>62</v>
      </c>
      <c r="B120" s="10" t="s">
        <v>113</v>
      </c>
      <c r="C120" s="30">
        <f>C113</f>
        <v>0</v>
      </c>
    </row>
    <row r="121" spans="1:5" ht="16.2" thickBot="1" x14ac:dyDescent="0.35">
      <c r="A121" s="82" t="s">
        <v>2</v>
      </c>
      <c r="B121" s="83"/>
      <c r="C121" s="30">
        <f>SUM(C119:C120)</f>
        <v>202.28197902654898</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34">
        <v>4</v>
      </c>
      <c r="D128" s="65">
        <v>23.14</v>
      </c>
      <c r="E128" s="6">
        <f>C128*D128</f>
        <v>92.56</v>
      </c>
    </row>
    <row r="129" spans="1:5" ht="16.2" thickBot="1" x14ac:dyDescent="0.35">
      <c r="A129" s="61">
        <v>2</v>
      </c>
      <c r="B129" s="36" t="s">
        <v>148</v>
      </c>
      <c r="C129" s="35">
        <v>2</v>
      </c>
      <c r="D129" s="67">
        <v>44.42</v>
      </c>
      <c r="E129" s="6">
        <f t="shared" ref="E129:E134" si="1">C129*D129</f>
        <v>88.84</v>
      </c>
    </row>
    <row r="130" spans="1:5" ht="16.2" thickBot="1" x14ac:dyDescent="0.35">
      <c r="A130" s="61">
        <v>3</v>
      </c>
      <c r="B130" s="36" t="s">
        <v>149</v>
      </c>
      <c r="C130" s="35">
        <v>4</v>
      </c>
      <c r="D130" s="67">
        <v>15</v>
      </c>
      <c r="E130" s="6">
        <f t="shared" si="1"/>
        <v>60</v>
      </c>
    </row>
    <row r="131" spans="1:5" ht="16.2" thickBot="1" x14ac:dyDescent="0.35">
      <c r="A131" s="61">
        <v>4</v>
      </c>
      <c r="B131" s="36" t="s">
        <v>156</v>
      </c>
      <c r="C131" s="35">
        <v>1</v>
      </c>
      <c r="D131" s="67">
        <v>45.29</v>
      </c>
      <c r="E131" s="6">
        <f t="shared" si="1"/>
        <v>45.29</v>
      </c>
    </row>
    <row r="132" spans="1:5" ht="16.2" thickBot="1" x14ac:dyDescent="0.35">
      <c r="A132" s="61">
        <v>5</v>
      </c>
      <c r="B132" s="36" t="s">
        <v>151</v>
      </c>
      <c r="C132" s="35">
        <v>1</v>
      </c>
      <c r="D132" s="67">
        <v>20.309999999999999</v>
      </c>
      <c r="E132" s="6">
        <f t="shared" si="1"/>
        <v>20.309999999999999</v>
      </c>
    </row>
    <row r="133" spans="1:5" ht="16.2" thickBot="1" x14ac:dyDescent="0.35">
      <c r="A133" s="61">
        <v>6</v>
      </c>
      <c r="B133" s="36" t="s">
        <v>178</v>
      </c>
      <c r="C133" s="35">
        <v>1</v>
      </c>
      <c r="D133" s="67">
        <v>11.37</v>
      </c>
      <c r="E133" s="6">
        <f t="shared" si="1"/>
        <v>11.37</v>
      </c>
    </row>
    <row r="134" spans="1:5" ht="16.2" thickBot="1" x14ac:dyDescent="0.35">
      <c r="A134" s="61">
        <v>7</v>
      </c>
      <c r="B134" s="36" t="s">
        <v>179</v>
      </c>
      <c r="C134" s="35">
        <v>1</v>
      </c>
      <c r="D134" s="67">
        <v>22.35</v>
      </c>
      <c r="E134" s="6">
        <f t="shared" si="1"/>
        <v>22.35</v>
      </c>
    </row>
    <row r="135" spans="1:5" ht="16.2" thickBot="1" x14ac:dyDescent="0.35">
      <c r="A135" s="87" t="s">
        <v>114</v>
      </c>
      <c r="B135" s="88"/>
      <c r="C135" s="5"/>
      <c r="D135" s="5"/>
      <c r="E135" s="37">
        <f>SUM(E128:E134)</f>
        <v>340.72</v>
      </c>
    </row>
    <row r="136" spans="1:5" ht="16.2" thickBot="1" x14ac:dyDescent="0.35">
      <c r="A136" s="87" t="s">
        <v>115</v>
      </c>
      <c r="B136" s="88"/>
      <c r="C136" s="5"/>
      <c r="D136" s="5"/>
      <c r="E136" s="37">
        <f>E135/12</f>
        <v>28.393333333333334</v>
      </c>
    </row>
    <row r="137" spans="1:5" ht="16.2" thickBot="1" x14ac:dyDescent="0.35">
      <c r="A137" s="59"/>
      <c r="B137" s="59"/>
      <c r="C137" s="59"/>
    </row>
    <row r="138" spans="1:5" ht="16.2" thickBot="1" x14ac:dyDescent="0.35">
      <c r="A138" s="7">
        <v>5</v>
      </c>
      <c r="B138" s="14" t="s">
        <v>6</v>
      </c>
      <c r="C138" s="8" t="s">
        <v>16</v>
      </c>
    </row>
    <row r="139" spans="1:5" ht="16.2" thickBot="1" x14ac:dyDescent="0.35">
      <c r="A139" s="9" t="s">
        <v>17</v>
      </c>
      <c r="B139" s="10" t="s">
        <v>66</v>
      </c>
      <c r="C139" s="30">
        <f>E136</f>
        <v>28.393333333333334</v>
      </c>
    </row>
    <row r="140" spans="1:5" ht="16.2" thickBot="1" x14ac:dyDescent="0.35">
      <c r="A140" s="9" t="s">
        <v>19</v>
      </c>
      <c r="B140" s="10" t="s">
        <v>67</v>
      </c>
      <c r="C140" s="30">
        <f>'Materiais Ag de Portaria'!G7+0.48</f>
        <v>1.2249999999999999</v>
      </c>
    </row>
    <row r="141" spans="1:5" ht="16.2" thickBot="1" x14ac:dyDescent="0.35">
      <c r="A141" s="9" t="s">
        <v>21</v>
      </c>
      <c r="B141" s="10" t="s">
        <v>68</v>
      </c>
      <c r="C141" s="30">
        <v>0</v>
      </c>
    </row>
    <row r="142" spans="1:5" ht="16.2" thickBot="1" x14ac:dyDescent="0.35">
      <c r="A142" s="9" t="s">
        <v>23</v>
      </c>
      <c r="B142" s="10" t="s">
        <v>28</v>
      </c>
      <c r="C142" s="30"/>
    </row>
    <row r="143" spans="1:5" ht="16.2" thickBot="1" x14ac:dyDescent="0.35">
      <c r="A143" s="82" t="s">
        <v>45</v>
      </c>
      <c r="B143" s="83"/>
      <c r="C143" s="30">
        <f>SUM(C139:C142)</f>
        <v>29.618333333333336</v>
      </c>
    </row>
    <row r="146" spans="1:5" x14ac:dyDescent="0.3">
      <c r="A146" s="81" t="s">
        <v>69</v>
      </c>
      <c r="B146" s="81"/>
      <c r="C146" s="81"/>
    </row>
    <row r="147" spans="1:5" ht="16.2" thickBot="1" x14ac:dyDescent="0.35"/>
    <row r="148" spans="1:5" ht="16.2" thickBot="1" x14ac:dyDescent="0.35">
      <c r="A148" s="7">
        <v>6</v>
      </c>
      <c r="B148" s="14" t="s">
        <v>7</v>
      </c>
      <c r="C148" s="8" t="s">
        <v>38</v>
      </c>
      <c r="D148" s="8" t="s">
        <v>16</v>
      </c>
    </row>
    <row r="149" spans="1:5" ht="16.2" thickBot="1" x14ac:dyDescent="0.35">
      <c r="A149" s="9" t="s">
        <v>17</v>
      </c>
      <c r="B149" s="10" t="s">
        <v>8</v>
      </c>
      <c r="C149" s="42">
        <v>0.03</v>
      </c>
      <c r="D149" s="40">
        <f>C166*C149</f>
        <v>81.799775456440386</v>
      </c>
    </row>
    <row r="150" spans="1:5" ht="16.2" thickBot="1" x14ac:dyDescent="0.35">
      <c r="A150" s="9" t="s">
        <v>19</v>
      </c>
      <c r="B150" s="10" t="s">
        <v>10</v>
      </c>
      <c r="C150" s="42">
        <v>6.7900000000000002E-2</v>
      </c>
      <c r="D150" s="40">
        <f>(C166+D149)*C150</f>
        <v>190.69436320323572</v>
      </c>
    </row>
    <row r="151" spans="1:5" ht="16.2" thickBot="1" x14ac:dyDescent="0.35">
      <c r="A151" s="9" t="s">
        <v>21</v>
      </c>
      <c r="B151" s="10" t="s">
        <v>9</v>
      </c>
      <c r="C151" s="38">
        <v>0.14249999999999999</v>
      </c>
      <c r="D151" s="41"/>
      <c r="E151" s="31">
        <f>(C166+D149+D150)/(1-C151)</f>
        <v>3497.5548927592095</v>
      </c>
    </row>
    <row r="152" spans="1:5" ht="16.2" thickBot="1" x14ac:dyDescent="0.35">
      <c r="A152" s="9"/>
      <c r="B152" s="10" t="s">
        <v>117</v>
      </c>
      <c r="C152" s="42">
        <v>1.6500000000000001E-2</v>
      </c>
      <c r="D152" s="40">
        <f>$E$151*C152</f>
        <v>57.709655730526961</v>
      </c>
    </row>
    <row r="153" spans="1:5" ht="16.2" thickBot="1" x14ac:dyDescent="0.35">
      <c r="A153" s="9"/>
      <c r="B153" s="10" t="s">
        <v>118</v>
      </c>
      <c r="C153" s="42">
        <v>7.5999999999999998E-2</v>
      </c>
      <c r="D153" s="40">
        <f>$E$151*C153</f>
        <v>265.8141718496999</v>
      </c>
    </row>
    <row r="154" spans="1:5" ht="16.2" thickBot="1" x14ac:dyDescent="0.35">
      <c r="A154" s="9"/>
      <c r="B154" s="10" t="s">
        <v>116</v>
      </c>
      <c r="C154" s="42">
        <v>0.05</v>
      </c>
      <c r="D154" s="40">
        <f t="shared" ref="D154" si="2">$E$151*C154</f>
        <v>174.87774463796049</v>
      </c>
    </row>
    <row r="155" spans="1:5" ht="16.2" thickBot="1" x14ac:dyDescent="0.35">
      <c r="A155" s="82" t="s">
        <v>45</v>
      </c>
      <c r="B155" s="83"/>
      <c r="C155" s="12">
        <v>0.30449999999999999</v>
      </c>
      <c r="D155" s="40">
        <f>SUM(D149:D154)</f>
        <v>770.89571087786351</v>
      </c>
      <c r="E155" s="31"/>
    </row>
    <row r="156" spans="1:5" x14ac:dyDescent="0.3">
      <c r="D156" s="31"/>
    </row>
    <row r="158" spans="1:5" x14ac:dyDescent="0.3">
      <c r="A158" s="81" t="s">
        <v>70</v>
      </c>
      <c r="B158" s="81"/>
      <c r="C158" s="81"/>
    </row>
    <row r="159" spans="1:5" ht="16.2" thickBot="1" x14ac:dyDescent="0.35"/>
    <row r="160" spans="1:5" ht="16.2" thickBot="1" x14ac:dyDescent="0.35">
      <c r="A160" s="7"/>
      <c r="B160" s="8" t="s">
        <v>71</v>
      </c>
      <c r="C160" s="8" t="s">
        <v>16</v>
      </c>
    </row>
    <row r="161" spans="1:5" ht="16.2" thickBot="1" x14ac:dyDescent="0.35">
      <c r="A161" s="16" t="s">
        <v>17</v>
      </c>
      <c r="B161" s="10" t="s">
        <v>14</v>
      </c>
      <c r="C161" s="39">
        <f>C36</f>
        <v>1158.93</v>
      </c>
    </row>
    <row r="162" spans="1:5" ht="16.2" thickBot="1" x14ac:dyDescent="0.35">
      <c r="A162" s="16" t="s">
        <v>19</v>
      </c>
      <c r="B162" s="10" t="s">
        <v>29</v>
      </c>
      <c r="C162" s="39">
        <f>C79</f>
        <v>1078.0258200000001</v>
      </c>
    </row>
    <row r="163" spans="1:5" ht="16.2" thickBot="1" x14ac:dyDescent="0.35">
      <c r="A163" s="16" t="s">
        <v>21</v>
      </c>
      <c r="B163" s="10" t="s">
        <v>53</v>
      </c>
      <c r="C163" s="39">
        <f>C91</f>
        <v>257.803049521464</v>
      </c>
    </row>
    <row r="164" spans="1:5" ht="16.2" thickBot="1" x14ac:dyDescent="0.35">
      <c r="A164" s="16" t="s">
        <v>23</v>
      </c>
      <c r="B164" s="10" t="s">
        <v>60</v>
      </c>
      <c r="C164" s="39">
        <f>C121</f>
        <v>202.28197902654898</v>
      </c>
    </row>
    <row r="165" spans="1:5" ht="16.2" thickBot="1" x14ac:dyDescent="0.35">
      <c r="A165" s="16" t="s">
        <v>24</v>
      </c>
      <c r="B165" s="10" t="s">
        <v>65</v>
      </c>
      <c r="C165" s="39">
        <f>C143</f>
        <v>29.618333333333336</v>
      </c>
    </row>
    <row r="166" spans="1:5" ht="16.2" thickBot="1" x14ac:dyDescent="0.35">
      <c r="A166" s="82" t="s">
        <v>72</v>
      </c>
      <c r="B166" s="83"/>
      <c r="C166" s="39">
        <f>SUM(C161:C165)</f>
        <v>2726.6591818813463</v>
      </c>
    </row>
    <row r="167" spans="1:5" ht="16.2" thickBot="1" x14ac:dyDescent="0.35">
      <c r="A167" s="16" t="s">
        <v>26</v>
      </c>
      <c r="B167" s="10" t="s">
        <v>73</v>
      </c>
      <c r="C167" s="39">
        <f>D155</f>
        <v>770.89571087786351</v>
      </c>
    </row>
    <row r="168" spans="1:5" ht="16.2" thickBot="1" x14ac:dyDescent="0.35">
      <c r="A168" s="82" t="s">
        <v>74</v>
      </c>
      <c r="B168" s="83"/>
      <c r="C168" s="39">
        <f>C166+C167</f>
        <v>3497.5548927592099</v>
      </c>
    </row>
    <row r="169" spans="1:5" ht="16.2" thickBot="1" x14ac:dyDescent="0.35">
      <c r="A169" s="82" t="s">
        <v>181</v>
      </c>
      <c r="B169" s="83"/>
      <c r="C169" s="39">
        <f>C168*2</f>
        <v>6995.1097855184198</v>
      </c>
    </row>
    <row r="171" spans="1:5" x14ac:dyDescent="0.3">
      <c r="A171" t="s">
        <v>319</v>
      </c>
      <c r="B171"/>
      <c r="C171"/>
      <c r="D171"/>
      <c r="E171"/>
    </row>
    <row r="172" spans="1:5" x14ac:dyDescent="0.3">
      <c r="A172"/>
      <c r="B172"/>
      <c r="C172"/>
      <c r="D172"/>
      <c r="E172"/>
    </row>
    <row r="173" spans="1:5" x14ac:dyDescent="0.3">
      <c r="A173" s="48"/>
      <c r="B173" s="48" t="s">
        <v>120</v>
      </c>
      <c r="C173" s="49"/>
      <c r="D173" s="50"/>
    </row>
    <row r="174" spans="1:5" x14ac:dyDescent="0.3">
      <c r="A174" s="51"/>
      <c r="B174" s="51" t="s">
        <v>121</v>
      </c>
      <c r="C174" s="50"/>
      <c r="D174" s="50"/>
    </row>
    <row r="175" spans="1:5" x14ac:dyDescent="0.3">
      <c r="B175" s="15" t="s">
        <v>144</v>
      </c>
      <c r="C175" s="50"/>
      <c r="D175" s="50"/>
    </row>
    <row r="176" spans="1:5" x14ac:dyDescent="0.3">
      <c r="A176" s="3"/>
      <c r="B176" s="51" t="s">
        <v>123</v>
      </c>
      <c r="C176" s="50"/>
      <c r="D176" s="50"/>
    </row>
    <row r="177" spans="1:4" x14ac:dyDescent="0.3">
      <c r="A177" s="1"/>
      <c r="B177" s="1" t="s">
        <v>124</v>
      </c>
      <c r="C177" s="1"/>
      <c r="D177" s="50"/>
    </row>
    <row r="179" spans="1:4" x14ac:dyDescent="0.3">
      <c r="B179" s="48" t="s">
        <v>120</v>
      </c>
    </row>
    <row r="180" spans="1:4" x14ac:dyDescent="0.3">
      <c r="B180" s="51" t="s">
        <v>121</v>
      </c>
    </row>
    <row r="181" spans="1:4" x14ac:dyDescent="0.3">
      <c r="B181" s="15" t="s">
        <v>122</v>
      </c>
    </row>
    <row r="182" spans="1:4" x14ac:dyDescent="0.3">
      <c r="B182" s="51" t="s">
        <v>142</v>
      </c>
    </row>
    <row r="183" spans="1:4" x14ac:dyDescent="0.3">
      <c r="B183" s="1" t="s">
        <v>143</v>
      </c>
    </row>
  </sheetData>
  <mergeCells count="48">
    <mergeCell ref="A169:B169"/>
    <mergeCell ref="A121:B121"/>
    <mergeCell ref="A124:C124"/>
    <mergeCell ref="A126:E126"/>
    <mergeCell ref="A135:B135"/>
    <mergeCell ref="A136:B136"/>
    <mergeCell ref="A143:B143"/>
    <mergeCell ref="A146:C146"/>
    <mergeCell ref="A155:B155"/>
    <mergeCell ref="A158:C158"/>
    <mergeCell ref="A166:B166"/>
    <mergeCell ref="A168:B168"/>
    <mergeCell ref="A116:C116"/>
    <mergeCell ref="A63:C63"/>
    <mergeCell ref="A70:B70"/>
    <mergeCell ref="A73:C73"/>
    <mergeCell ref="A79:B79"/>
    <mergeCell ref="A82:C82"/>
    <mergeCell ref="A91:B91"/>
    <mergeCell ref="A94:C94"/>
    <mergeCell ref="A97:C97"/>
    <mergeCell ref="A106:B106"/>
    <mergeCell ref="A109:C109"/>
    <mergeCell ref="A113:B113"/>
    <mergeCell ref="A60:B60"/>
    <mergeCell ref="A19:E19"/>
    <mergeCell ref="C20:E20"/>
    <mergeCell ref="C21:E21"/>
    <mergeCell ref="C22:E22"/>
    <mergeCell ref="C23:E23"/>
    <mergeCell ref="A27:C27"/>
    <mergeCell ref="A36:B36"/>
    <mergeCell ref="A39:C39"/>
    <mergeCell ref="A41:C41"/>
    <mergeCell ref="A46:B46"/>
    <mergeCell ref="A49:D49"/>
    <mergeCell ref="A18:E18"/>
    <mergeCell ref="A1:D1"/>
    <mergeCell ref="A2:D2"/>
    <mergeCell ref="A3:D3"/>
    <mergeCell ref="A8:E8"/>
    <mergeCell ref="C9:E9"/>
    <mergeCell ref="C10:E10"/>
    <mergeCell ref="C11:E11"/>
    <mergeCell ref="C12:E12"/>
    <mergeCell ref="A14:C14"/>
    <mergeCell ref="C15:E15"/>
    <mergeCell ref="C16:D16"/>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ABFD5-6292-4277-AC85-AB09CCAC84E7}">
  <dimension ref="A1:E183"/>
  <sheetViews>
    <sheetView showGridLines="0" zoomScale="115" zoomScaleNormal="115" workbookViewId="0">
      <selection sqref="A1:E184"/>
    </sheetView>
  </sheetViews>
  <sheetFormatPr defaultColWidth="9.109375" defaultRowHeight="15.6" x14ac:dyDescent="0.3"/>
  <cols>
    <col min="1" max="1" width="12.5546875" style="15" customWidth="1"/>
    <col min="2" max="2" width="72.109375" style="15" customWidth="1"/>
    <col min="3" max="3" width="18" style="15" customWidth="1"/>
    <col min="4" max="4" width="14.33203125" style="15" customWidth="1"/>
    <col min="5" max="5" width="12.6640625" style="15" customWidth="1"/>
    <col min="6" max="6" width="12" style="15" customWidth="1"/>
    <col min="7" max="7" width="15.109375" style="15" customWidth="1"/>
    <col min="8" max="16384" width="9.109375" style="15"/>
  </cols>
  <sheetData>
    <row r="1" spans="1:5" ht="22.8" x14ac:dyDescent="0.4">
      <c r="A1" s="97" t="s">
        <v>75</v>
      </c>
      <c r="B1" s="97"/>
      <c r="C1" s="97"/>
      <c r="D1" s="97"/>
    </row>
    <row r="2" spans="1:5" ht="22.8" x14ac:dyDescent="0.4">
      <c r="A2" s="97" t="s">
        <v>76</v>
      </c>
      <c r="B2" s="97"/>
      <c r="C2" s="97"/>
      <c r="D2" s="97"/>
    </row>
    <row r="3" spans="1:5" x14ac:dyDescent="0.3">
      <c r="A3" s="98" t="s">
        <v>77</v>
      </c>
      <c r="B3" s="98"/>
      <c r="C3" s="98"/>
      <c r="D3" s="98"/>
    </row>
    <row r="4" spans="1:5" x14ac:dyDescent="0.3">
      <c r="A4" s="18" t="s">
        <v>78</v>
      </c>
      <c r="B4" s="19"/>
      <c r="C4" s="17"/>
      <c r="D4" s="17"/>
    </row>
    <row r="5" spans="1:5" x14ac:dyDescent="0.3">
      <c r="A5" s="18" t="s">
        <v>79</v>
      </c>
      <c r="B5" s="20"/>
      <c r="C5" s="17"/>
      <c r="D5" s="17"/>
    </row>
    <row r="6" spans="1:5" x14ac:dyDescent="0.3">
      <c r="A6" s="19" t="s">
        <v>80</v>
      </c>
      <c r="B6" s="19"/>
      <c r="C6" s="17"/>
      <c r="D6" s="17"/>
    </row>
    <row r="7" spans="1:5" x14ac:dyDescent="0.3">
      <c r="A7" s="21"/>
      <c r="B7" s="21"/>
      <c r="C7" s="17"/>
      <c r="D7" s="17"/>
    </row>
    <row r="8" spans="1:5" x14ac:dyDescent="0.3">
      <c r="A8" s="99" t="s">
        <v>81</v>
      </c>
      <c r="B8" s="99"/>
      <c r="C8" s="99"/>
      <c r="D8" s="99"/>
      <c r="E8" s="99"/>
    </row>
    <row r="9" spans="1:5" x14ac:dyDescent="0.3">
      <c r="A9" s="22" t="s">
        <v>17</v>
      </c>
      <c r="B9" s="23" t="s">
        <v>82</v>
      </c>
      <c r="C9" s="96"/>
      <c r="D9" s="96"/>
      <c r="E9" s="96"/>
    </row>
    <row r="10" spans="1:5" x14ac:dyDescent="0.3">
      <c r="A10" s="22" t="s">
        <v>19</v>
      </c>
      <c r="B10" s="23" t="s">
        <v>83</v>
      </c>
      <c r="C10" s="90" t="s">
        <v>84</v>
      </c>
      <c r="D10" s="90"/>
      <c r="E10" s="90"/>
    </row>
    <row r="11" spans="1:5" x14ac:dyDescent="0.3">
      <c r="A11" s="22" t="s">
        <v>21</v>
      </c>
      <c r="B11" s="23" t="s">
        <v>85</v>
      </c>
      <c r="C11" s="90" t="s">
        <v>192</v>
      </c>
      <c r="D11" s="90"/>
      <c r="E11" s="90"/>
    </row>
    <row r="12" spans="1:5" x14ac:dyDescent="0.3">
      <c r="A12" s="22" t="s">
        <v>23</v>
      </c>
      <c r="B12" s="23" t="s">
        <v>86</v>
      </c>
      <c r="C12" s="90">
        <v>12</v>
      </c>
      <c r="D12" s="90"/>
      <c r="E12" s="90"/>
    </row>
    <row r="13" spans="1:5" x14ac:dyDescent="0.3">
      <c r="A13" s="24"/>
      <c r="B13" s="24"/>
      <c r="C13" s="24"/>
      <c r="D13" s="24"/>
      <c r="E13" s="24"/>
    </row>
    <row r="14" spans="1:5" x14ac:dyDescent="0.3">
      <c r="A14" s="91" t="s">
        <v>87</v>
      </c>
      <c r="B14" s="91"/>
      <c r="C14" s="91"/>
      <c r="D14" s="25"/>
      <c r="E14" s="24"/>
    </row>
    <row r="15" spans="1:5" x14ac:dyDescent="0.3">
      <c r="A15" s="22" t="s">
        <v>88</v>
      </c>
      <c r="B15" s="22" t="s">
        <v>89</v>
      </c>
      <c r="C15" s="92" t="s">
        <v>90</v>
      </c>
      <c r="D15" s="92"/>
      <c r="E15" s="92"/>
    </row>
    <row r="16" spans="1:5" x14ac:dyDescent="0.3">
      <c r="A16" s="26" t="s">
        <v>153</v>
      </c>
      <c r="B16" s="22" t="s">
        <v>91</v>
      </c>
      <c r="C16" s="90" t="s">
        <v>176</v>
      </c>
      <c r="D16" s="90"/>
      <c r="E16" s="27">
        <v>1</v>
      </c>
    </row>
    <row r="17" spans="1:5" x14ac:dyDescent="0.3">
      <c r="A17" s="24"/>
      <c r="B17" s="24"/>
      <c r="C17" s="24"/>
      <c r="D17" s="24"/>
      <c r="E17" s="24"/>
    </row>
    <row r="18" spans="1:5" x14ac:dyDescent="0.3">
      <c r="A18" s="91" t="s">
        <v>93</v>
      </c>
      <c r="B18" s="91"/>
      <c r="C18" s="91"/>
      <c r="D18" s="91"/>
      <c r="E18" s="91"/>
    </row>
    <row r="19" spans="1:5" x14ac:dyDescent="0.3">
      <c r="A19" s="93" t="s">
        <v>94</v>
      </c>
      <c r="B19" s="93"/>
      <c r="C19" s="93"/>
      <c r="D19" s="93"/>
      <c r="E19" s="93"/>
    </row>
    <row r="20" spans="1:5" x14ac:dyDescent="0.3">
      <c r="A20" s="22">
        <v>1</v>
      </c>
      <c r="B20" s="28" t="s">
        <v>95</v>
      </c>
      <c r="C20" s="92" t="s">
        <v>153</v>
      </c>
      <c r="D20" s="92"/>
      <c r="E20" s="92"/>
    </row>
    <row r="21" spans="1:5" x14ac:dyDescent="0.3">
      <c r="A21" s="22">
        <v>2</v>
      </c>
      <c r="B21" s="29" t="s">
        <v>96</v>
      </c>
      <c r="C21" s="94">
        <v>1092.5999999999999</v>
      </c>
      <c r="D21" s="94"/>
      <c r="E21" s="94"/>
    </row>
    <row r="22" spans="1:5" ht="31.5" customHeight="1" x14ac:dyDescent="0.3">
      <c r="A22" s="22">
        <v>3</v>
      </c>
      <c r="B22" s="29" t="s">
        <v>97</v>
      </c>
      <c r="C22" s="95" t="s">
        <v>180</v>
      </c>
      <c r="D22" s="95"/>
      <c r="E22" s="95"/>
    </row>
    <row r="23" spans="1:5" x14ac:dyDescent="0.3">
      <c r="A23" s="22">
        <v>4</v>
      </c>
      <c r="B23" s="29" t="s">
        <v>99</v>
      </c>
      <c r="C23" s="96">
        <v>43497</v>
      </c>
      <c r="D23" s="96"/>
      <c r="E23" s="96"/>
    </row>
    <row r="24" spans="1:5" x14ac:dyDescent="0.3">
      <c r="A24" s="17"/>
      <c r="B24" s="17"/>
      <c r="C24" s="17"/>
      <c r="D24" s="17"/>
    </row>
    <row r="27" spans="1:5" x14ac:dyDescent="0.3">
      <c r="A27" s="81" t="s">
        <v>14</v>
      </c>
      <c r="B27" s="81"/>
      <c r="C27" s="81"/>
    </row>
    <row r="28" spans="1:5" ht="16.2" thickBot="1" x14ac:dyDescent="0.35"/>
    <row r="29" spans="1:5" ht="16.2" thickBot="1" x14ac:dyDescent="0.35">
      <c r="A29" s="7">
        <v>1</v>
      </c>
      <c r="B29" s="8" t="s">
        <v>15</v>
      </c>
      <c r="C29" s="8" t="s">
        <v>16</v>
      </c>
    </row>
    <row r="30" spans="1:5" ht="16.2" thickBot="1" x14ac:dyDescent="0.35">
      <c r="A30" s="9" t="s">
        <v>17</v>
      </c>
      <c r="B30" s="10" t="s">
        <v>18</v>
      </c>
      <c r="C30" s="62">
        <v>1158.93</v>
      </c>
    </row>
    <row r="31" spans="1:5" ht="16.2" thickBot="1" x14ac:dyDescent="0.35">
      <c r="A31" s="9" t="s">
        <v>19</v>
      </c>
      <c r="B31" s="10" t="s">
        <v>20</v>
      </c>
      <c r="C31" s="30"/>
    </row>
    <row r="32" spans="1:5" ht="16.2" thickBot="1" x14ac:dyDescent="0.35">
      <c r="A32" s="9" t="s">
        <v>21</v>
      </c>
      <c r="B32" s="10" t="s">
        <v>22</v>
      </c>
      <c r="C32" s="30"/>
    </row>
    <row r="33" spans="1:3" ht="16.2" thickBot="1" x14ac:dyDescent="0.35">
      <c r="A33" s="9" t="s">
        <v>23</v>
      </c>
      <c r="B33" s="10" t="s">
        <v>1</v>
      </c>
      <c r="C33" s="30"/>
    </row>
    <row r="34" spans="1:3" ht="16.2" thickBot="1" x14ac:dyDescent="0.35">
      <c r="A34" s="9" t="s">
        <v>24</v>
      </c>
      <c r="B34" s="10" t="s">
        <v>25</v>
      </c>
      <c r="C34" s="30"/>
    </row>
    <row r="35" spans="1:3" ht="16.2" thickBot="1" x14ac:dyDescent="0.35">
      <c r="A35" s="9" t="s">
        <v>26</v>
      </c>
      <c r="B35" s="10" t="s">
        <v>28</v>
      </c>
      <c r="C35" s="30"/>
    </row>
    <row r="36" spans="1:3" ht="16.2" thickBot="1" x14ac:dyDescent="0.35">
      <c r="A36" s="82" t="s">
        <v>2</v>
      </c>
      <c r="B36" s="83"/>
      <c r="C36" s="30">
        <f>SUM(C30:C35)</f>
        <v>1158.93</v>
      </c>
    </row>
    <row r="39" spans="1:3" x14ac:dyDescent="0.3">
      <c r="A39" s="81" t="s">
        <v>29</v>
      </c>
      <c r="B39" s="81"/>
      <c r="C39" s="81"/>
    </row>
    <row r="40" spans="1:3" x14ac:dyDescent="0.3">
      <c r="A40" s="2"/>
    </row>
    <row r="41" spans="1:3" x14ac:dyDescent="0.3">
      <c r="A41" s="84" t="s">
        <v>30</v>
      </c>
      <c r="B41" s="84"/>
      <c r="C41" s="84"/>
    </row>
    <row r="42" spans="1:3" ht="16.2" thickBot="1" x14ac:dyDescent="0.35"/>
    <row r="43" spans="1:3" ht="16.2" thickBot="1" x14ac:dyDescent="0.35">
      <c r="A43" s="7" t="s">
        <v>31</v>
      </c>
      <c r="B43" s="8" t="s">
        <v>32</v>
      </c>
      <c r="C43" s="8" t="s">
        <v>16</v>
      </c>
    </row>
    <row r="44" spans="1:3" ht="16.2" thickBot="1" x14ac:dyDescent="0.35">
      <c r="A44" s="9" t="s">
        <v>17</v>
      </c>
      <c r="B44" s="10" t="s">
        <v>33</v>
      </c>
      <c r="C44" s="30">
        <f>C36*(1/12)</f>
        <v>96.577500000000001</v>
      </c>
    </row>
    <row r="45" spans="1:3" ht="16.2" thickBot="1" x14ac:dyDescent="0.35">
      <c r="A45" s="9" t="s">
        <v>19</v>
      </c>
      <c r="B45" s="10" t="s">
        <v>34</v>
      </c>
      <c r="C45" s="30">
        <f>C36*(1/12)+C36*(1/3)*(1/12)</f>
        <v>128.76999999999998</v>
      </c>
    </row>
    <row r="46" spans="1:3" ht="16.2" thickBot="1" x14ac:dyDescent="0.35">
      <c r="A46" s="82" t="s">
        <v>2</v>
      </c>
      <c r="B46" s="83"/>
      <c r="C46" s="30">
        <f>SUM(C44:C45)</f>
        <v>225.34749999999997</v>
      </c>
    </row>
    <row r="49" spans="1:4" ht="32.25" customHeight="1" x14ac:dyDescent="0.3">
      <c r="A49" s="89" t="s">
        <v>35</v>
      </c>
      <c r="B49" s="89"/>
      <c r="C49" s="89"/>
      <c r="D49" s="89"/>
    </row>
    <row r="50" spans="1:4" ht="16.2" thickBot="1" x14ac:dyDescent="0.35"/>
    <row r="51" spans="1:4" ht="16.2" thickBot="1" x14ac:dyDescent="0.35">
      <c r="A51" s="7" t="s">
        <v>36</v>
      </c>
      <c r="B51" s="8" t="s">
        <v>37</v>
      </c>
      <c r="C51" s="8" t="s">
        <v>38</v>
      </c>
      <c r="D51" s="8" t="s">
        <v>16</v>
      </c>
    </row>
    <row r="52" spans="1:4" ht="16.2" thickBot="1" x14ac:dyDescent="0.35">
      <c r="A52" s="9" t="s">
        <v>17</v>
      </c>
      <c r="B52" s="10" t="s">
        <v>39</v>
      </c>
      <c r="C52" s="12">
        <v>0.2</v>
      </c>
      <c r="D52" s="30">
        <f>($C$36+$C$46)*C52</f>
        <v>276.85550000000006</v>
      </c>
    </row>
    <row r="53" spans="1:4" ht="16.2" thickBot="1" x14ac:dyDescent="0.35">
      <c r="A53" s="9" t="s">
        <v>19</v>
      </c>
      <c r="B53" s="10" t="s">
        <v>40</v>
      </c>
      <c r="C53" s="12">
        <v>2.5000000000000001E-2</v>
      </c>
      <c r="D53" s="30">
        <f t="shared" ref="D53:D60" si="0">($C$36+$C$46)*C53</f>
        <v>34.606937500000008</v>
      </c>
    </row>
    <row r="54" spans="1:4" ht="16.2" thickBot="1" x14ac:dyDescent="0.35">
      <c r="A54" s="9" t="s">
        <v>21</v>
      </c>
      <c r="B54" s="10" t="s">
        <v>41</v>
      </c>
      <c r="C54" s="12">
        <v>0.03</v>
      </c>
      <c r="D54" s="30">
        <f t="shared" si="0"/>
        <v>41.528325000000002</v>
      </c>
    </row>
    <row r="55" spans="1:4" ht="16.2" thickBot="1" x14ac:dyDescent="0.35">
      <c r="A55" s="9" t="s">
        <v>23</v>
      </c>
      <c r="B55" s="10" t="s">
        <v>42</v>
      </c>
      <c r="C55" s="12">
        <v>1.4999999999999999E-2</v>
      </c>
      <c r="D55" s="30">
        <f t="shared" si="0"/>
        <v>20.764162500000001</v>
      </c>
    </row>
    <row r="56" spans="1:4" ht="16.2" thickBot="1" x14ac:dyDescent="0.35">
      <c r="A56" s="9" t="s">
        <v>24</v>
      </c>
      <c r="B56" s="10" t="s">
        <v>43</v>
      </c>
      <c r="C56" s="12">
        <v>0.01</v>
      </c>
      <c r="D56" s="30">
        <f t="shared" si="0"/>
        <v>13.842775000000001</v>
      </c>
    </row>
    <row r="57" spans="1:4" ht="16.2" thickBot="1" x14ac:dyDescent="0.35">
      <c r="A57" s="9" t="s">
        <v>26</v>
      </c>
      <c r="B57" s="10" t="s">
        <v>3</v>
      </c>
      <c r="C57" s="12">
        <v>6.0000000000000001E-3</v>
      </c>
      <c r="D57" s="30">
        <f t="shared" si="0"/>
        <v>8.3056650000000012</v>
      </c>
    </row>
    <row r="58" spans="1:4" ht="16.2" thickBot="1" x14ac:dyDescent="0.35">
      <c r="A58" s="9" t="s">
        <v>27</v>
      </c>
      <c r="B58" s="10" t="s">
        <v>4</v>
      </c>
      <c r="C58" s="12">
        <v>2E-3</v>
      </c>
      <c r="D58" s="30">
        <f t="shared" si="0"/>
        <v>2.7685550000000005</v>
      </c>
    </row>
    <row r="59" spans="1:4" ht="16.2" thickBot="1" x14ac:dyDescent="0.35">
      <c r="A59" s="9" t="s">
        <v>44</v>
      </c>
      <c r="B59" s="10" t="s">
        <v>5</v>
      </c>
      <c r="C59" s="12">
        <v>0.08</v>
      </c>
      <c r="D59" s="30">
        <f t="shared" si="0"/>
        <v>110.74220000000001</v>
      </c>
    </row>
    <row r="60" spans="1:4" ht="16.2" thickBot="1" x14ac:dyDescent="0.35">
      <c r="A60" s="82" t="s">
        <v>45</v>
      </c>
      <c r="B60" s="83"/>
      <c r="C60" s="12">
        <f>SUM(C52:C59)</f>
        <v>0.36800000000000005</v>
      </c>
      <c r="D60" s="30">
        <f t="shared" si="0"/>
        <v>509.41412000000014</v>
      </c>
    </row>
    <row r="61" spans="1:4" x14ac:dyDescent="0.3">
      <c r="D61" s="31"/>
    </row>
    <row r="63" spans="1:4" x14ac:dyDescent="0.3">
      <c r="A63" s="84" t="s">
        <v>46</v>
      </c>
      <c r="B63" s="84"/>
      <c r="C63" s="84"/>
    </row>
    <row r="64" spans="1:4" ht="16.2" thickBot="1" x14ac:dyDescent="0.35"/>
    <row r="65" spans="1:3" ht="16.2" thickBot="1" x14ac:dyDescent="0.35">
      <c r="A65" s="7" t="s">
        <v>47</v>
      </c>
      <c r="B65" s="8" t="s">
        <v>48</v>
      </c>
      <c r="C65" s="8" t="s">
        <v>16</v>
      </c>
    </row>
    <row r="66" spans="1:3" ht="16.2" thickBot="1" x14ac:dyDescent="0.35">
      <c r="A66" s="9" t="s">
        <v>17</v>
      </c>
      <c r="B66" s="10" t="s">
        <v>49</v>
      </c>
      <c r="C66" s="30">
        <f>(3.8*2*15)-(C36*100%*6%)</f>
        <v>44.464200000000005</v>
      </c>
    </row>
    <row r="67" spans="1:3" ht="16.2" thickBot="1" x14ac:dyDescent="0.35">
      <c r="A67" s="9" t="s">
        <v>19</v>
      </c>
      <c r="B67" s="10" t="s">
        <v>50</v>
      </c>
      <c r="C67" s="30">
        <f>(19*15)-((19*15)*5%)</f>
        <v>270.75</v>
      </c>
    </row>
    <row r="68" spans="1:3" ht="16.2" thickBot="1" x14ac:dyDescent="0.35">
      <c r="A68" s="9" t="s">
        <v>21</v>
      </c>
      <c r="B68" s="10" t="s">
        <v>100</v>
      </c>
      <c r="C68" s="40">
        <v>105</v>
      </c>
    </row>
    <row r="69" spans="1:3" ht="16.2" thickBot="1" x14ac:dyDescent="0.35">
      <c r="A69" s="9" t="s">
        <v>23</v>
      </c>
      <c r="B69" s="10" t="s">
        <v>101</v>
      </c>
      <c r="C69" s="40">
        <v>0</v>
      </c>
    </row>
    <row r="70" spans="1:3" ht="16.2" thickBot="1" x14ac:dyDescent="0.35">
      <c r="A70" s="82" t="s">
        <v>2</v>
      </c>
      <c r="B70" s="83"/>
      <c r="C70" s="30">
        <f>SUM(C66:C69)</f>
        <v>420.21420000000001</v>
      </c>
    </row>
    <row r="73" spans="1:3" x14ac:dyDescent="0.3">
      <c r="A73" s="84" t="s">
        <v>51</v>
      </c>
      <c r="B73" s="84"/>
      <c r="C73" s="84"/>
    </row>
    <row r="74" spans="1:3" ht="16.2" thickBot="1" x14ac:dyDescent="0.35"/>
    <row r="75" spans="1:3" ht="16.2" thickBot="1" x14ac:dyDescent="0.35">
      <c r="A75" s="7">
        <v>2</v>
      </c>
      <c r="B75" s="8" t="s">
        <v>52</v>
      </c>
      <c r="C75" s="8" t="s">
        <v>16</v>
      </c>
    </row>
    <row r="76" spans="1:3" ht="16.2" thickBot="1" x14ac:dyDescent="0.35">
      <c r="A76" s="9" t="s">
        <v>31</v>
      </c>
      <c r="B76" s="10" t="s">
        <v>32</v>
      </c>
      <c r="C76" s="30">
        <f>C46</f>
        <v>225.34749999999997</v>
      </c>
    </row>
    <row r="77" spans="1:3" ht="16.2" thickBot="1" x14ac:dyDescent="0.35">
      <c r="A77" s="9" t="s">
        <v>36</v>
      </c>
      <c r="B77" s="10" t="s">
        <v>37</v>
      </c>
      <c r="C77" s="30">
        <f>D60</f>
        <v>509.41412000000014</v>
      </c>
    </row>
    <row r="78" spans="1:3" ht="16.2" thickBot="1" x14ac:dyDescent="0.35">
      <c r="A78" s="9" t="s">
        <v>47</v>
      </c>
      <c r="B78" s="10" t="s">
        <v>48</v>
      </c>
      <c r="C78" s="30">
        <f>C70</f>
        <v>420.21420000000001</v>
      </c>
    </row>
    <row r="79" spans="1:3" ht="16.2" thickBot="1" x14ac:dyDescent="0.35">
      <c r="A79" s="82" t="s">
        <v>2</v>
      </c>
      <c r="B79" s="83"/>
      <c r="C79" s="30">
        <f>SUM(C76:C78)</f>
        <v>1154.9758200000001</v>
      </c>
    </row>
    <row r="80" spans="1:3" x14ac:dyDescent="0.3">
      <c r="A80" s="1"/>
    </row>
    <row r="82" spans="1:4" x14ac:dyDescent="0.3">
      <c r="A82" s="81" t="s">
        <v>53</v>
      </c>
      <c r="B82" s="81"/>
      <c r="C82" s="81"/>
    </row>
    <row r="83" spans="1:4" ht="16.2" thickBot="1" x14ac:dyDescent="0.35">
      <c r="C83" s="31"/>
    </row>
    <row r="84" spans="1:4" ht="16.2" thickBot="1" x14ac:dyDescent="0.35">
      <c r="A84" s="7">
        <v>3</v>
      </c>
      <c r="B84" s="8" t="s">
        <v>54</v>
      </c>
      <c r="C84" s="8" t="s">
        <v>16</v>
      </c>
    </row>
    <row r="85" spans="1:4" ht="16.2" thickBot="1" x14ac:dyDescent="0.35">
      <c r="A85" s="9" t="s">
        <v>17</v>
      </c>
      <c r="B85" s="13" t="s">
        <v>55</v>
      </c>
      <c r="C85" s="30">
        <f>($C$36+$C$46+$D$59+$C$70)*(41.93%*(1/12))</f>
        <v>66.921464522500003</v>
      </c>
    </row>
    <row r="86" spans="1:4" ht="16.2" thickBot="1" x14ac:dyDescent="0.35">
      <c r="A86" s="9" t="s">
        <v>19</v>
      </c>
      <c r="B86" s="13" t="s">
        <v>56</v>
      </c>
      <c r="C86" s="30">
        <f>C85*8%</f>
        <v>5.3537171618000006</v>
      </c>
      <c r="D86" s="31"/>
    </row>
    <row r="87" spans="1:4" ht="16.2" thickBot="1" x14ac:dyDescent="0.35">
      <c r="A87" s="9" t="s">
        <v>21</v>
      </c>
      <c r="B87" s="13" t="s">
        <v>57</v>
      </c>
      <c r="C87" s="30">
        <f>($C$36+$C$46+$D$59+$C$70)*(50%*(40%+10%)*8%)</f>
        <v>38.304678000000003</v>
      </c>
      <c r="D87" s="31"/>
    </row>
    <row r="88" spans="1:4" ht="16.2" thickBot="1" x14ac:dyDescent="0.35">
      <c r="A88" s="9" t="s">
        <v>23</v>
      </c>
      <c r="B88" s="13" t="s">
        <v>58</v>
      </c>
      <c r="C88" s="30">
        <f>($C$36+$C$79)*(41.93%*(1/12))</f>
        <v>80.851725860499982</v>
      </c>
    </row>
    <row r="89" spans="1:4" ht="31.8" thickBot="1" x14ac:dyDescent="0.35">
      <c r="A89" s="9" t="s">
        <v>24</v>
      </c>
      <c r="B89" s="13" t="s">
        <v>102</v>
      </c>
      <c r="C89" s="30">
        <f>$C$60*$C$88</f>
        <v>29.753435116663997</v>
      </c>
    </row>
    <row r="90" spans="1:4" ht="16.2" thickBot="1" x14ac:dyDescent="0.35">
      <c r="A90" s="9" t="s">
        <v>26</v>
      </c>
      <c r="B90" s="13" t="s">
        <v>59</v>
      </c>
      <c r="C90" s="30">
        <f>($C$36+$C$79)*(50%*(40%+10%)*8%)</f>
        <v>46.278116400000002</v>
      </c>
      <c r="D90" s="31"/>
    </row>
    <row r="91" spans="1:4" ht="16.2" thickBot="1" x14ac:dyDescent="0.35">
      <c r="A91" s="82" t="s">
        <v>2</v>
      </c>
      <c r="B91" s="83"/>
      <c r="C91" s="30">
        <f>SUM(C85:C90)</f>
        <v>267.46313706146401</v>
      </c>
    </row>
    <row r="94" spans="1:4" x14ac:dyDescent="0.3">
      <c r="A94" s="81" t="s">
        <v>60</v>
      </c>
      <c r="B94" s="81"/>
      <c r="C94" s="81"/>
    </row>
    <row r="97" spans="1:3" x14ac:dyDescent="0.3">
      <c r="A97" s="84" t="s">
        <v>110</v>
      </c>
      <c r="B97" s="84"/>
      <c r="C97" s="84"/>
    </row>
    <row r="98" spans="1:3" ht="16.2" thickBot="1" x14ac:dyDescent="0.35">
      <c r="A98" s="2"/>
    </row>
    <row r="99" spans="1:3" ht="16.2" thickBot="1" x14ac:dyDescent="0.35">
      <c r="A99" s="7" t="s">
        <v>61</v>
      </c>
      <c r="B99" s="8" t="s">
        <v>109</v>
      </c>
      <c r="C99" s="8" t="s">
        <v>16</v>
      </c>
    </row>
    <row r="100" spans="1:3" ht="16.2" thickBot="1" x14ac:dyDescent="0.35">
      <c r="A100" s="9" t="s">
        <v>17</v>
      </c>
      <c r="B100" s="10" t="s">
        <v>103</v>
      </c>
      <c r="C100" s="30">
        <f>(((C36+C79+C91)/30)*20.7123)/12</f>
        <v>148.51691180373376</v>
      </c>
    </row>
    <row r="101" spans="1:3" ht="16.2" thickBot="1" x14ac:dyDescent="0.35">
      <c r="A101" s="9" t="s">
        <v>19</v>
      </c>
      <c r="B101" s="10" t="s">
        <v>104</v>
      </c>
      <c r="C101" s="30">
        <f>(((C36+C79+C91)/30)*(1+3.4521+0.3044+0.0427+0.037+0.02+0.004+0.001))/12</f>
        <v>34.85708548351996</v>
      </c>
    </row>
    <row r="102" spans="1:3" ht="16.2" thickBot="1" x14ac:dyDescent="0.35">
      <c r="A102" s="9" t="s">
        <v>21</v>
      </c>
      <c r="B102" s="10" t="s">
        <v>105</v>
      </c>
      <c r="C102" s="30">
        <f>(((C36+C79+C91)/30)*0.1892)/12</f>
        <v>1.3566527963223027</v>
      </c>
    </row>
    <row r="103" spans="1:3" ht="16.2" thickBot="1" x14ac:dyDescent="0.35">
      <c r="A103" s="9" t="s">
        <v>23</v>
      </c>
      <c r="B103" s="10" t="s">
        <v>106</v>
      </c>
      <c r="C103" s="30">
        <f>(((C36+C79+C91)/30)*0.9548)/12</f>
        <v>6.8463641116730161</v>
      </c>
    </row>
    <row r="104" spans="1:3" ht="16.2" thickBot="1" x14ac:dyDescent="0.35">
      <c r="A104" s="9" t="s">
        <v>24</v>
      </c>
      <c r="B104" s="10" t="s">
        <v>107</v>
      </c>
      <c r="C104" s="30">
        <f>(((C36+C79+C91)/30)*2.4723)/12</f>
        <v>17.727551312619607</v>
      </c>
    </row>
    <row r="105" spans="1:3" ht="16.2" thickBot="1" x14ac:dyDescent="0.35">
      <c r="A105" s="9" t="s">
        <v>26</v>
      </c>
      <c r="B105" s="10" t="s">
        <v>108</v>
      </c>
      <c r="C105" s="30"/>
    </row>
    <row r="106" spans="1:3" ht="16.2" thickBot="1" x14ac:dyDescent="0.35">
      <c r="A106" s="82" t="s">
        <v>45</v>
      </c>
      <c r="B106" s="83"/>
      <c r="C106" s="30">
        <f>SUM(C100:C105)</f>
        <v>209.30456550786863</v>
      </c>
    </row>
    <row r="109" spans="1:3" x14ac:dyDescent="0.3">
      <c r="A109" s="84" t="s">
        <v>112</v>
      </c>
      <c r="B109" s="84"/>
      <c r="C109" s="84"/>
    </row>
    <row r="110" spans="1:3" ht="16.2" thickBot="1" x14ac:dyDescent="0.35">
      <c r="A110" s="2"/>
    </row>
    <row r="111" spans="1:3" ht="16.2" thickBot="1" x14ac:dyDescent="0.35">
      <c r="A111" s="7" t="s">
        <v>62</v>
      </c>
      <c r="B111" s="8" t="s">
        <v>113</v>
      </c>
      <c r="C111" s="8" t="s">
        <v>16</v>
      </c>
    </row>
    <row r="112" spans="1:3" ht="16.2" thickBot="1" x14ac:dyDescent="0.35">
      <c r="A112" s="9" t="s">
        <v>17</v>
      </c>
      <c r="B112" s="10" t="s">
        <v>111</v>
      </c>
      <c r="C112" s="11"/>
    </row>
    <row r="113" spans="1:5" ht="16.2" thickBot="1" x14ac:dyDescent="0.35">
      <c r="A113" s="82" t="s">
        <v>2</v>
      </c>
      <c r="B113" s="83"/>
      <c r="C113" s="30">
        <v>0</v>
      </c>
    </row>
    <row r="116" spans="1:5" x14ac:dyDescent="0.3">
      <c r="A116" s="84" t="s">
        <v>63</v>
      </c>
      <c r="B116" s="84"/>
      <c r="C116" s="84"/>
    </row>
    <row r="117" spans="1:5" ht="16.2" thickBot="1" x14ac:dyDescent="0.35">
      <c r="A117" s="2"/>
    </row>
    <row r="118" spans="1:5" ht="16.2" thickBot="1" x14ac:dyDescent="0.35">
      <c r="A118" s="7">
        <v>4</v>
      </c>
      <c r="B118" s="8" t="s">
        <v>64</v>
      </c>
      <c r="C118" s="8" t="s">
        <v>16</v>
      </c>
    </row>
    <row r="119" spans="1:5" ht="16.2" thickBot="1" x14ac:dyDescent="0.35">
      <c r="A119" s="9" t="s">
        <v>61</v>
      </c>
      <c r="B119" s="10" t="s">
        <v>109</v>
      </c>
      <c r="C119" s="30">
        <f>C106</f>
        <v>209.30456550786863</v>
      </c>
    </row>
    <row r="120" spans="1:5" ht="16.2" thickBot="1" x14ac:dyDescent="0.35">
      <c r="A120" s="9" t="s">
        <v>62</v>
      </c>
      <c r="B120" s="10" t="s">
        <v>113</v>
      </c>
      <c r="C120" s="30">
        <f>C113</f>
        <v>0</v>
      </c>
    </row>
    <row r="121" spans="1:5" ht="16.2" thickBot="1" x14ac:dyDescent="0.35">
      <c r="A121" s="82" t="s">
        <v>2</v>
      </c>
      <c r="B121" s="83"/>
      <c r="C121" s="30">
        <f>SUM(C119:C120)</f>
        <v>209.30456550786863</v>
      </c>
    </row>
    <row r="124" spans="1:5" x14ac:dyDescent="0.3">
      <c r="A124" s="81" t="s">
        <v>65</v>
      </c>
      <c r="B124" s="81"/>
      <c r="C124" s="81"/>
    </row>
    <row r="125" spans="1:5" x14ac:dyDescent="0.3">
      <c r="A125" s="59"/>
      <c r="B125" s="59"/>
      <c r="C125" s="59"/>
    </row>
    <row r="126" spans="1:5" ht="16.2" thickBot="1" x14ac:dyDescent="0.35">
      <c r="A126" s="85" t="s">
        <v>152</v>
      </c>
      <c r="B126" s="85"/>
      <c r="C126" s="85"/>
      <c r="D126" s="85"/>
      <c r="E126" s="86"/>
    </row>
    <row r="127" spans="1:5" ht="16.2" thickBot="1" x14ac:dyDescent="0.35">
      <c r="A127" s="4" t="s">
        <v>146</v>
      </c>
      <c r="B127" s="4" t="s">
        <v>11</v>
      </c>
      <c r="C127" s="32" t="s">
        <v>12</v>
      </c>
      <c r="D127" s="32" t="s">
        <v>13</v>
      </c>
      <c r="E127" s="33" t="s">
        <v>0</v>
      </c>
    </row>
    <row r="128" spans="1:5" ht="16.2" thickBot="1" x14ac:dyDescent="0.35">
      <c r="A128" s="60">
        <v>1</v>
      </c>
      <c r="B128" s="36" t="s">
        <v>147</v>
      </c>
      <c r="C128" s="34">
        <v>4</v>
      </c>
      <c r="D128" s="65">
        <v>23.14</v>
      </c>
      <c r="E128" s="6">
        <f>C128*D128</f>
        <v>92.56</v>
      </c>
    </row>
    <row r="129" spans="1:5" ht="16.2" thickBot="1" x14ac:dyDescent="0.35">
      <c r="A129" s="61">
        <v>2</v>
      </c>
      <c r="B129" s="36" t="s">
        <v>148</v>
      </c>
      <c r="C129" s="35">
        <v>2</v>
      </c>
      <c r="D129" s="67">
        <v>44.42</v>
      </c>
      <c r="E129" s="6">
        <f t="shared" ref="E129:E134" si="1">C129*D129</f>
        <v>88.84</v>
      </c>
    </row>
    <row r="130" spans="1:5" ht="16.2" thickBot="1" x14ac:dyDescent="0.35">
      <c r="A130" s="61">
        <v>3</v>
      </c>
      <c r="B130" s="36" t="s">
        <v>149</v>
      </c>
      <c r="C130" s="35">
        <v>4</v>
      </c>
      <c r="D130" s="67">
        <v>15</v>
      </c>
      <c r="E130" s="6">
        <f t="shared" si="1"/>
        <v>60</v>
      </c>
    </row>
    <row r="131" spans="1:5" ht="16.2" thickBot="1" x14ac:dyDescent="0.35">
      <c r="A131" s="61">
        <v>4</v>
      </c>
      <c r="B131" s="36" t="s">
        <v>156</v>
      </c>
      <c r="C131" s="35">
        <v>1</v>
      </c>
      <c r="D131" s="67">
        <v>45.29</v>
      </c>
      <c r="E131" s="6">
        <f t="shared" si="1"/>
        <v>45.29</v>
      </c>
    </row>
    <row r="132" spans="1:5" ht="16.2" thickBot="1" x14ac:dyDescent="0.35">
      <c r="A132" s="61">
        <v>5</v>
      </c>
      <c r="B132" s="36" t="s">
        <v>151</v>
      </c>
      <c r="C132" s="35">
        <v>1</v>
      </c>
      <c r="D132" s="67">
        <v>20.309999999999999</v>
      </c>
      <c r="E132" s="6">
        <f t="shared" si="1"/>
        <v>20.309999999999999</v>
      </c>
    </row>
    <row r="133" spans="1:5" ht="16.2" thickBot="1" x14ac:dyDescent="0.35">
      <c r="A133" s="61">
        <v>6</v>
      </c>
      <c r="B133" s="36" t="s">
        <v>178</v>
      </c>
      <c r="C133" s="35">
        <v>1</v>
      </c>
      <c r="D133" s="67">
        <v>11.37</v>
      </c>
      <c r="E133" s="6">
        <f t="shared" si="1"/>
        <v>11.37</v>
      </c>
    </row>
    <row r="134" spans="1:5" ht="16.2" thickBot="1" x14ac:dyDescent="0.35">
      <c r="A134" s="61">
        <v>7</v>
      </c>
      <c r="B134" s="36" t="s">
        <v>179</v>
      </c>
      <c r="C134" s="35">
        <v>1</v>
      </c>
      <c r="D134" s="67">
        <v>22.35</v>
      </c>
      <c r="E134" s="6">
        <f t="shared" si="1"/>
        <v>22.35</v>
      </c>
    </row>
    <row r="135" spans="1:5" ht="16.2" thickBot="1" x14ac:dyDescent="0.35">
      <c r="A135" s="87" t="s">
        <v>114</v>
      </c>
      <c r="B135" s="88"/>
      <c r="C135" s="5"/>
      <c r="D135" s="5"/>
      <c r="E135" s="37">
        <f>SUM(E128:E134)</f>
        <v>340.72</v>
      </c>
    </row>
    <row r="136" spans="1:5" ht="16.2" thickBot="1" x14ac:dyDescent="0.35">
      <c r="A136" s="87" t="s">
        <v>115</v>
      </c>
      <c r="B136" s="88"/>
      <c r="C136" s="5"/>
      <c r="D136" s="5"/>
      <c r="E136" s="37">
        <f>E135/12</f>
        <v>28.393333333333334</v>
      </c>
    </row>
    <row r="137" spans="1:5" ht="16.2" thickBot="1" x14ac:dyDescent="0.35">
      <c r="A137" s="59"/>
      <c r="B137" s="59"/>
      <c r="C137" s="59"/>
    </row>
    <row r="138" spans="1:5" ht="16.2" thickBot="1" x14ac:dyDescent="0.35">
      <c r="A138" s="7">
        <v>5</v>
      </c>
      <c r="B138" s="14" t="s">
        <v>6</v>
      </c>
      <c r="C138" s="8" t="s">
        <v>16</v>
      </c>
    </row>
    <row r="139" spans="1:5" ht="16.2" thickBot="1" x14ac:dyDescent="0.35">
      <c r="A139" s="9" t="s">
        <v>17</v>
      </c>
      <c r="B139" s="10" t="s">
        <v>66</v>
      </c>
      <c r="C139" s="30">
        <f>E136</f>
        <v>28.393333333333334</v>
      </c>
    </row>
    <row r="140" spans="1:5" ht="16.2" thickBot="1" x14ac:dyDescent="0.35">
      <c r="A140" s="9" t="s">
        <v>19</v>
      </c>
      <c r="B140" s="10" t="s">
        <v>67</v>
      </c>
      <c r="C140" s="30">
        <f>'Materiais Ag de Portaria'!G7+0.48</f>
        <v>1.2249999999999999</v>
      </c>
    </row>
    <row r="141" spans="1:5" ht="16.2" thickBot="1" x14ac:dyDescent="0.35">
      <c r="A141" s="9" t="s">
        <v>21</v>
      </c>
      <c r="B141" s="10" t="s">
        <v>68</v>
      </c>
      <c r="C141" s="30">
        <v>0</v>
      </c>
    </row>
    <row r="142" spans="1:5" ht="16.2" thickBot="1" x14ac:dyDescent="0.35">
      <c r="A142" s="9" t="s">
        <v>23</v>
      </c>
      <c r="B142" s="10" t="s">
        <v>28</v>
      </c>
      <c r="C142" s="30"/>
    </row>
    <row r="143" spans="1:5" ht="16.2" thickBot="1" x14ac:dyDescent="0.35">
      <c r="A143" s="82" t="s">
        <v>45</v>
      </c>
      <c r="B143" s="83"/>
      <c r="C143" s="30">
        <f>SUM(C139:C142)</f>
        <v>29.618333333333336</v>
      </c>
    </row>
    <row r="146" spans="1:5" x14ac:dyDescent="0.3">
      <c r="A146" s="81" t="s">
        <v>69</v>
      </c>
      <c r="B146" s="81"/>
      <c r="C146" s="81"/>
    </row>
    <row r="147" spans="1:5" ht="16.2" thickBot="1" x14ac:dyDescent="0.35"/>
    <row r="148" spans="1:5" ht="16.2" thickBot="1" x14ac:dyDescent="0.35">
      <c r="A148" s="7">
        <v>6</v>
      </c>
      <c r="B148" s="14" t="s">
        <v>7</v>
      </c>
      <c r="C148" s="8" t="s">
        <v>38</v>
      </c>
      <c r="D148" s="8" t="s">
        <v>16</v>
      </c>
    </row>
    <row r="149" spans="1:5" ht="16.2" thickBot="1" x14ac:dyDescent="0.35">
      <c r="A149" s="9" t="s">
        <v>17</v>
      </c>
      <c r="B149" s="10" t="s">
        <v>8</v>
      </c>
      <c r="C149" s="42">
        <v>0.03</v>
      </c>
      <c r="D149" s="40">
        <f>C166*C149</f>
        <v>84.608755677079969</v>
      </c>
    </row>
    <row r="150" spans="1:5" ht="16.2" thickBot="1" x14ac:dyDescent="0.35">
      <c r="A150" s="9" t="s">
        <v>19</v>
      </c>
      <c r="B150" s="10" t="s">
        <v>10</v>
      </c>
      <c r="C150" s="42">
        <v>6.7900000000000002E-2</v>
      </c>
      <c r="D150" s="40">
        <f>(C166+D149)*C150</f>
        <v>197.24275152626473</v>
      </c>
    </row>
    <row r="151" spans="1:5" ht="16.2" thickBot="1" x14ac:dyDescent="0.35">
      <c r="A151" s="9" t="s">
        <v>21</v>
      </c>
      <c r="B151" s="10" t="s">
        <v>9</v>
      </c>
      <c r="C151" s="38">
        <v>0.14249999999999999</v>
      </c>
      <c r="D151" s="41"/>
      <c r="E151" s="31">
        <f>(C166+D149+D150)/(1-C151)</f>
        <v>3617.659898665901</v>
      </c>
    </row>
    <row r="152" spans="1:5" ht="16.2" thickBot="1" x14ac:dyDescent="0.35">
      <c r="A152" s="9"/>
      <c r="B152" s="10" t="s">
        <v>117</v>
      </c>
      <c r="C152" s="42">
        <v>1.6500000000000001E-2</v>
      </c>
      <c r="D152" s="40">
        <f>$E$151*C152</f>
        <v>59.691388327987369</v>
      </c>
    </row>
    <row r="153" spans="1:5" ht="16.2" thickBot="1" x14ac:dyDescent="0.35">
      <c r="A153" s="9"/>
      <c r="B153" s="10" t="s">
        <v>118</v>
      </c>
      <c r="C153" s="42">
        <v>7.5999999999999998E-2</v>
      </c>
      <c r="D153" s="40">
        <f>$E$151*C153</f>
        <v>274.94215229860845</v>
      </c>
    </row>
    <row r="154" spans="1:5" ht="16.2" thickBot="1" x14ac:dyDescent="0.35">
      <c r="A154" s="9"/>
      <c r="B154" s="10" t="s">
        <v>116</v>
      </c>
      <c r="C154" s="42">
        <v>0.05</v>
      </c>
      <c r="D154" s="40">
        <f t="shared" ref="D154" si="2">$E$151*C154</f>
        <v>180.88299493329507</v>
      </c>
    </row>
    <row r="155" spans="1:5" ht="16.2" thickBot="1" x14ac:dyDescent="0.35">
      <c r="A155" s="82" t="s">
        <v>45</v>
      </c>
      <c r="B155" s="83"/>
      <c r="C155" s="12">
        <v>0.30449999999999999</v>
      </c>
      <c r="D155" s="40">
        <f>SUM(D149:D154)</f>
        <v>797.36804276323562</v>
      </c>
      <c r="E155" s="31"/>
    </row>
    <row r="156" spans="1:5" x14ac:dyDescent="0.3">
      <c r="D156" s="31"/>
    </row>
    <row r="158" spans="1:5" x14ac:dyDescent="0.3">
      <c r="A158" s="81" t="s">
        <v>70</v>
      </c>
      <c r="B158" s="81"/>
      <c r="C158" s="81"/>
    </row>
    <row r="159" spans="1:5" ht="16.2" thickBot="1" x14ac:dyDescent="0.35"/>
    <row r="160" spans="1:5" ht="16.2" thickBot="1" x14ac:dyDescent="0.35">
      <c r="A160" s="7"/>
      <c r="B160" s="8" t="s">
        <v>71</v>
      </c>
      <c r="C160" s="8" t="s">
        <v>16</v>
      </c>
    </row>
    <row r="161" spans="1:5" ht="16.2" thickBot="1" x14ac:dyDescent="0.35">
      <c r="A161" s="16" t="s">
        <v>17</v>
      </c>
      <c r="B161" s="10" t="s">
        <v>14</v>
      </c>
      <c r="C161" s="39">
        <f>C36</f>
        <v>1158.93</v>
      </c>
    </row>
    <row r="162" spans="1:5" ht="16.2" thickBot="1" x14ac:dyDescent="0.35">
      <c r="A162" s="16" t="s">
        <v>19</v>
      </c>
      <c r="B162" s="10" t="s">
        <v>29</v>
      </c>
      <c r="C162" s="39">
        <f>C79</f>
        <v>1154.9758200000001</v>
      </c>
    </row>
    <row r="163" spans="1:5" ht="16.2" thickBot="1" x14ac:dyDescent="0.35">
      <c r="A163" s="16" t="s">
        <v>21</v>
      </c>
      <c r="B163" s="10" t="s">
        <v>53</v>
      </c>
      <c r="C163" s="39">
        <f>C91</f>
        <v>267.46313706146401</v>
      </c>
    </row>
    <row r="164" spans="1:5" ht="16.2" thickBot="1" x14ac:dyDescent="0.35">
      <c r="A164" s="16" t="s">
        <v>23</v>
      </c>
      <c r="B164" s="10" t="s">
        <v>60</v>
      </c>
      <c r="C164" s="39">
        <f>C121</f>
        <v>209.30456550786863</v>
      </c>
    </row>
    <row r="165" spans="1:5" ht="16.2" thickBot="1" x14ac:dyDescent="0.35">
      <c r="A165" s="16" t="s">
        <v>24</v>
      </c>
      <c r="B165" s="10" t="s">
        <v>65</v>
      </c>
      <c r="C165" s="39">
        <f>C143</f>
        <v>29.618333333333336</v>
      </c>
    </row>
    <row r="166" spans="1:5" ht="16.2" thickBot="1" x14ac:dyDescent="0.35">
      <c r="A166" s="82" t="s">
        <v>72</v>
      </c>
      <c r="B166" s="83"/>
      <c r="C166" s="39">
        <f>SUM(C161:C165)</f>
        <v>2820.2918559026657</v>
      </c>
    </row>
    <row r="167" spans="1:5" ht="16.2" thickBot="1" x14ac:dyDescent="0.35">
      <c r="A167" s="16" t="s">
        <v>26</v>
      </c>
      <c r="B167" s="10" t="s">
        <v>73</v>
      </c>
      <c r="C167" s="39">
        <f>D155</f>
        <v>797.36804276323562</v>
      </c>
    </row>
    <row r="168" spans="1:5" ht="16.2" thickBot="1" x14ac:dyDescent="0.35">
      <c r="A168" s="82" t="s">
        <v>74</v>
      </c>
      <c r="B168" s="83"/>
      <c r="C168" s="39">
        <f>C166+C167</f>
        <v>3617.6598986659014</v>
      </c>
    </row>
    <row r="169" spans="1:5" ht="16.2" thickBot="1" x14ac:dyDescent="0.35">
      <c r="A169" s="82" t="s">
        <v>181</v>
      </c>
      <c r="B169" s="83"/>
      <c r="C169" s="39">
        <f>C168*2</f>
        <v>7235.3197973318029</v>
      </c>
    </row>
    <row r="171" spans="1:5" x14ac:dyDescent="0.3">
      <c r="A171" t="s">
        <v>319</v>
      </c>
      <c r="B171"/>
      <c r="C171"/>
      <c r="D171"/>
      <c r="E171"/>
    </row>
    <row r="172" spans="1:5" x14ac:dyDescent="0.3">
      <c r="A172"/>
      <c r="B172"/>
      <c r="C172"/>
      <c r="D172"/>
      <c r="E172"/>
    </row>
    <row r="173" spans="1:5" x14ac:dyDescent="0.3">
      <c r="A173" s="48"/>
      <c r="B173" s="48" t="s">
        <v>120</v>
      </c>
      <c r="C173" s="49"/>
      <c r="D173" s="50"/>
    </row>
    <row r="174" spans="1:5" x14ac:dyDescent="0.3">
      <c r="A174" s="51"/>
      <c r="B174" s="51" t="s">
        <v>121</v>
      </c>
      <c r="C174" s="50"/>
      <c r="D174" s="50"/>
    </row>
    <row r="175" spans="1:5" x14ac:dyDescent="0.3">
      <c r="B175" s="15" t="s">
        <v>144</v>
      </c>
      <c r="C175" s="50"/>
      <c r="D175" s="50"/>
    </row>
    <row r="176" spans="1:5" x14ac:dyDescent="0.3">
      <c r="A176" s="3"/>
      <c r="B176" s="51" t="s">
        <v>123</v>
      </c>
      <c r="C176" s="50"/>
      <c r="D176" s="50"/>
    </row>
    <row r="177" spans="1:4" x14ac:dyDescent="0.3">
      <c r="A177" s="1"/>
      <c r="B177" s="1" t="s">
        <v>124</v>
      </c>
      <c r="C177" s="1"/>
      <c r="D177" s="50"/>
    </row>
    <row r="179" spans="1:4" x14ac:dyDescent="0.3">
      <c r="B179" s="48" t="s">
        <v>120</v>
      </c>
    </row>
    <row r="180" spans="1:4" x14ac:dyDescent="0.3">
      <c r="B180" s="51" t="s">
        <v>121</v>
      </c>
    </row>
    <row r="181" spans="1:4" x14ac:dyDescent="0.3">
      <c r="B181" s="15" t="s">
        <v>122</v>
      </c>
    </row>
    <row r="182" spans="1:4" x14ac:dyDescent="0.3">
      <c r="B182" s="51" t="s">
        <v>142</v>
      </c>
    </row>
    <row r="183" spans="1:4" x14ac:dyDescent="0.3">
      <c r="B183" s="1" t="s">
        <v>143</v>
      </c>
    </row>
  </sheetData>
  <mergeCells count="48">
    <mergeCell ref="A169:B169"/>
    <mergeCell ref="A121:B121"/>
    <mergeCell ref="A124:C124"/>
    <mergeCell ref="A126:E126"/>
    <mergeCell ref="A135:B135"/>
    <mergeCell ref="A136:B136"/>
    <mergeCell ref="A143:B143"/>
    <mergeCell ref="A146:C146"/>
    <mergeCell ref="A155:B155"/>
    <mergeCell ref="A158:C158"/>
    <mergeCell ref="A166:B166"/>
    <mergeCell ref="A168:B168"/>
    <mergeCell ref="A116:C116"/>
    <mergeCell ref="A63:C63"/>
    <mergeCell ref="A70:B70"/>
    <mergeCell ref="A73:C73"/>
    <mergeCell ref="A79:B79"/>
    <mergeCell ref="A82:C82"/>
    <mergeCell ref="A91:B91"/>
    <mergeCell ref="A94:C94"/>
    <mergeCell ref="A97:C97"/>
    <mergeCell ref="A106:B106"/>
    <mergeCell ref="A109:C109"/>
    <mergeCell ref="A113:B113"/>
    <mergeCell ref="A60:B60"/>
    <mergeCell ref="A19:E19"/>
    <mergeCell ref="C20:E20"/>
    <mergeCell ref="C21:E21"/>
    <mergeCell ref="C22:E22"/>
    <mergeCell ref="C23:E23"/>
    <mergeCell ref="A27:C27"/>
    <mergeCell ref="A36:B36"/>
    <mergeCell ref="A39:C39"/>
    <mergeCell ref="A41:C41"/>
    <mergeCell ref="A46:B46"/>
    <mergeCell ref="A49:D49"/>
    <mergeCell ref="A18:E18"/>
    <mergeCell ref="A1:D1"/>
    <mergeCell ref="A2:D2"/>
    <mergeCell ref="A3:D3"/>
    <mergeCell ref="A8:E8"/>
    <mergeCell ref="C9:E9"/>
    <mergeCell ref="C10:E10"/>
    <mergeCell ref="C11:E11"/>
    <mergeCell ref="C12:E12"/>
    <mergeCell ref="A14:C14"/>
    <mergeCell ref="C15:E15"/>
    <mergeCell ref="C16:D16"/>
  </mergeCells>
  <pageMargins left="0.511811024" right="0.511811024" top="0.78740157499999996" bottom="0.78740157499999996" header="0.31496062000000002" footer="0.31496062000000002"/>
  <pageSetup paperSize="9" scale="71" orientation="portrait" r:id="rId1"/>
  <rowBreaks count="2" manualBreakCount="2">
    <brk id="61" max="4" man="1"/>
    <brk id="122"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20</vt:i4>
      </vt:variant>
      <vt:variant>
        <vt:lpstr>Intervalos Nomeados</vt:lpstr>
      </vt:variant>
      <vt:variant>
        <vt:i4>19</vt:i4>
      </vt:variant>
    </vt:vector>
  </HeadingPairs>
  <TitlesOfParts>
    <vt:vector size="39" baseType="lpstr">
      <vt:lpstr>Auxiliar de Almoxarifado</vt:lpstr>
      <vt:lpstr>Almoxarife</vt:lpstr>
      <vt:lpstr>Artífice</vt:lpstr>
      <vt:lpstr>Materiais Artifice</vt:lpstr>
      <vt:lpstr>Condutor B</vt:lpstr>
      <vt:lpstr>Condutor D</vt:lpstr>
      <vt:lpstr>Ag. Portaria 44horas</vt:lpstr>
      <vt:lpstr>Ag Portaria 12x36 diu seg a sex</vt:lpstr>
      <vt:lpstr>Ag Portaria 12x36 diu seg a dom</vt:lpstr>
      <vt:lpstr>Materiais Ag de Portaria</vt:lpstr>
      <vt:lpstr>Copeira</vt:lpstr>
      <vt:lpstr>Operador de Som</vt:lpstr>
      <vt:lpstr>Lavador de Veículos</vt:lpstr>
      <vt:lpstr>Carregador_Ajudante</vt:lpstr>
      <vt:lpstr>Materiais Carregador</vt:lpstr>
      <vt:lpstr>Jardineiro Roçador</vt:lpstr>
      <vt:lpstr>Materiais Roçador</vt:lpstr>
      <vt:lpstr>Encarregado</vt:lpstr>
      <vt:lpstr>Materiais Uso Coletivo</vt:lpstr>
      <vt:lpstr>Resumo</vt:lpstr>
      <vt:lpstr>'Ag Portaria 12x36 diu seg a dom'!Area_de_impressao</vt:lpstr>
      <vt:lpstr>'Ag Portaria 12x36 diu seg a sex'!Area_de_impressao</vt:lpstr>
      <vt:lpstr>'Ag. Portaria 44horas'!Area_de_impressao</vt:lpstr>
      <vt:lpstr>Almoxarife!Area_de_impressao</vt:lpstr>
      <vt:lpstr>Artífice!Area_de_impressao</vt:lpstr>
      <vt:lpstr>'Auxiliar de Almoxarifado'!Area_de_impressao</vt:lpstr>
      <vt:lpstr>Carregador_Ajudante!Area_de_impressao</vt:lpstr>
      <vt:lpstr>'Condutor B'!Area_de_impressao</vt:lpstr>
      <vt:lpstr>'Condutor D'!Area_de_impressao</vt:lpstr>
      <vt:lpstr>Copeira!Area_de_impressao</vt:lpstr>
      <vt:lpstr>Encarregado!Area_de_impressao</vt:lpstr>
      <vt:lpstr>'Jardineiro Roçador'!Area_de_impressao</vt:lpstr>
      <vt:lpstr>'Lavador de Veículos'!Area_de_impressao</vt:lpstr>
      <vt:lpstr>'Materiais Ag de Portaria'!Area_de_impressao</vt:lpstr>
      <vt:lpstr>'Materiais Artifice'!Area_de_impressao</vt:lpstr>
      <vt:lpstr>'Materiais Carregador'!Area_de_impressao</vt:lpstr>
      <vt:lpstr>'Materiais Roçador'!Area_de_impressao</vt:lpstr>
      <vt:lpstr>'Operador de Som'!Area_de_impressao</vt:lpstr>
      <vt:lpstr>Resumo!Area_de_impressao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diego</cp:lastModifiedBy>
  <cp:lastPrinted>2019-04-20T12:24:23Z</cp:lastPrinted>
  <dcterms:created xsi:type="dcterms:W3CDTF">2018-01-23T19:35:16Z</dcterms:created>
  <dcterms:modified xsi:type="dcterms:W3CDTF">2019-04-20T12:33:27Z</dcterms:modified>
</cp:coreProperties>
</file>